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Chart\Documents\"/>
    </mc:Choice>
  </mc:AlternateContent>
  <xr:revisionPtr revIDLastSave="0" documentId="8_{A6C7A583-B500-4E82-AB9A-64E68E5BFBF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210" yWindow="1950" windowWidth="25600" windowHeight="153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<sst xmlns="http://schemas.openxmlformats.org/spreadsheetml/2006/main" count="22507" uniqueCount="15864">
  <si>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</si>
  <si>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</si>
  <si>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</si>
  <si>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</si>
  <si>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</si>
  <si>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</si>
  <si>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</si>
  <si>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</si>
  <si>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</si>
  <si>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</si>
  <si>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</si>
  <si>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</si>
  <si>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</si>
  <si>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</si>
  <si>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</si>
  <si>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</si>
  <si>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</si>
  <si>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</si>
  <si>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</si>
  <si>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</si>
  <si>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</si>
  <si>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</si>
  <si>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</si>
  <si>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</si>
  <si>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</si>
  <si>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</si>
  <si>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</si>
  <si>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</si>
  <si>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</si>
  <si>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</si>
  <si>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</si>
  <si>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</si>
  <si>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</si>
  <si>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</si>
  <si>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</si>
  <si>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</si>
  <si>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</si>
  <si>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</si>
  <si>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</si>
  <si>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</si>
  <si>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</si>
  <si>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</si>
  <si>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</si>
  <si>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</si>
  <si>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</si>
  <si>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</si>
  <si>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</si>
  <si>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</si>
  <si>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</si>
  <si>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</si>
  <si>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</si>
  <si>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</si>
  <si>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</si>
  <si>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</si>
  <si>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</si>
  <si>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</si>
  <si>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</si>
  <si>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</si>
  <si>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</si>
  <si>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</si>
  <si>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</si>
  <si>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</si>
  <si>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</si>
  <si>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</si>
  <si>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</si>
  <si>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</si>
  <si>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</si>
  <si>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</si>
  <si>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</si>
  <si>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</si>
  <si>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</si>
  <si>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</si>
  <si>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</si>
  <si>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</si>
  <si>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</si>
  <si>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</si>
  <si>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</si>
  <si>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</si>
  <si>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</si>
  <si>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</si>
  <si>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</si>
  <si>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</si>
  <si>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</si>
  <si>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</si>
  <si>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</si>
  <si>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</si>
  <si>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</si>
  <si>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</si>
  <si>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</si>
  <si>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</si>
  <si>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</si>
  <si>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</si>
  <si>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</si>
  <si>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</si>
  <si>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</si>
  <si>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</si>
  <si>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</si>
  <si>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</si>
  <si>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</si>
  <si>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</si>
  <si>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</si>
  <si>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</si>
  <si>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</si>
  <si>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</si>
  <si>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</si>
  <si>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</si>
  <si>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</si>
  <si>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</si>
  <si>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</si>
  <si>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</si>
  <si>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</si>
  <si>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</si>
  <si>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</si>
  <si>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</si>
  <si>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</si>
  <si>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</si>
  <si>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</si>
  <si>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</si>
  <si>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</si>
  <si>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</si>
  <si>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</si>
  <si>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</si>
  <si>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</si>
  <si>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</si>
  <si>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</si>
  <si>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</si>
  <si>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</si>
  <si>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</si>
  <si>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</si>
  <si>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</si>
  <si>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</si>
  <si>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</si>
  <si>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</si>
  <si>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</si>
  <si>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</si>
  <si>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</si>
  <si>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</si>
  <si>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</si>
  <si>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</si>
  <si>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</si>
  <si>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</si>
  <si>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</si>
  <si>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</si>
  <si>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</si>
  <si>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</si>
  <si>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</si>
  <si>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</si>
  <si>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</si>
  <si>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</si>
  <si>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</si>
  <si>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</si>
  <si>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</si>
  <si>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</si>
  <si>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</si>
  <si>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</si>
  <si>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</si>
  <si>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</si>
  <si>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</si>
  <si>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</si>
  <si>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</si>
  <si>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</si>
  <si>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</si>
  <si>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</si>
  <si>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</si>
  <si>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</si>
  <si>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</si>
  <si>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</si>
  <si>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</si>
  <si>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</si>
  <si>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</si>
  <si>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</si>
  <si>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</si>
  <si>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</si>
  <si>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</si>
  <si>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</si>
  <si>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</si>
  <si>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</si>
  <si>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</si>
  <si>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</si>
  <si>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</si>
  <si>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</si>
  <si>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</si>
  <si>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</si>
  <si>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</si>
  <si>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</si>
  <si>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</si>
  <si>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</si>
  <si>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</si>
  <si>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</si>
  <si>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</si>
  <si>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</si>
  <si>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</si>
  <si>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</si>
  <si>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</si>
  <si>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</si>
  <si>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</si>
  <si>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</si>
  <si>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</si>
  <si>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</si>
  <si>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</si>
  <si>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</si>
  <si>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</si>
  <si>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</si>
  <si>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</si>
  <si>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</si>
  <si>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</si>
  <si>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</si>
  <si>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</si>
  <si>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</si>
  <si>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</si>
  <si>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</si>
  <si>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</si>
  <si>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</si>
  <si>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</si>
  <si>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</si>
  <si>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</si>
  <si>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</si>
  <si>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</si>
  <si>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</si>
  <si>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</si>
  <si>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</si>
  <si>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</si>
  <si>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</si>
  <si>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</si>
  <si>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</si>
  <si>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</si>
  <si>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</si>
  <si>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</si>
  <si>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</si>
  <si>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</si>
  <si>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</si>
  <si>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</si>
  <si>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</si>
  <si>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</si>
  <si>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</si>
  <si>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</si>
  <si>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</si>
  <si>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</si>
  <si>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</si>
  <si>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</si>
  <si>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</si>
  <si>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</si>
  <si>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</si>
  <si>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</si>
  <si>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</si>
  <si>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</si>
  <si>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</si>
  <si>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</si>
  <si>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</si>
  <si>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</si>
  <si>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</si>
  <si>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</si>
  <si>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</si>
  <si>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</si>
  <si>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</si>
  <si>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</si>
  <si>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</si>
  <si>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</si>
  <si>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</si>
  <si>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</si>
  <si>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</si>
  <si>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</si>
  <si>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</si>
  <si>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</si>
  <si>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</si>
  <si>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</si>
  <si>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</si>
  <si>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</si>
  <si>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</si>
  <si>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</si>
  <si>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</si>
  <si>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</si>
  <si>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</si>
  <si>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</si>
  <si>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</si>
  <si>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</si>
  <si>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</si>
  <si>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</si>
  <si>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</si>
  <si>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</si>
  <si>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</si>
  <si>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</si>
  <si>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</si>
  <si>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</si>
  <si>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</si>
  <si>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</si>
  <si>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</si>
  <si>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</si>
  <si>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</si>
  <si>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</si>
  <si>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</si>
  <si>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</si>
  <si>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</si>
  <si>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</si>
  <si>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</si>
  <si>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</si>
  <si>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</si>
  <si>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</si>
  <si>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</si>
  <si>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</si>
  <si>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</si>
  <si>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</si>
  <si>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</si>
  <si>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</si>
  <si>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</si>
  <si>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</si>
  <si>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</si>
  <si>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</si>
  <si>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</si>
  <si>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</si>
  <si>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</si>
  <si>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</si>
  <si>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</si>
  <si>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</si>
  <si>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</si>
  <si>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</si>
  <si>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</si>
  <si>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</si>
  <si>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</si>
  <si>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</si>
  <si>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</si>
  <si>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</si>
  <si>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</si>
  <si>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</si>
  <si>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</si>
  <si>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</si>
  <si>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</si>
  <si>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</si>
  <si>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</si>
  <si>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</si>
  <si>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</si>
  <si>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</si>
  <si>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</si>
  <si>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</si>
  <si>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</si>
  <si>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</si>
  <si>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</si>
  <si>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</si>
  <si>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</si>
  <si>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</si>
  <si>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</si>
  <si>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</si>
  <si>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</si>
  <si>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</si>
  <si>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</si>
  <si>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</si>
  <si>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</si>
  <si>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</si>
  <si>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</si>
  <si>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</si>
  <si>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</si>
  <si>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</si>
  <si>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</si>
  <si>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</si>
  <si>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</si>
  <si>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</si>
  <si>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</si>
  <si>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</si>
  <si>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</si>
  <si>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</si>
  <si>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</si>
  <si>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</si>
  <si>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</si>
  <si>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</si>
  <si>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</si>
  <si>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</si>
  <si>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</si>
  <si>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</si>
  <si>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</si>
  <si>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</si>
  <si>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</si>
  <si>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</si>
  <si>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</si>
  <si>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</si>
  <si>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</si>
  <si>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</si>
  <si>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</si>
  <si>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</si>
  <si>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</si>
  <si>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</si>
  <si>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</si>
  <si>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</si>
  <si>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</si>
  <si>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</si>
  <si>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</si>
  <si>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</si>
  <si>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</si>
  <si>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</si>
  <si>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</si>
  <si>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</si>
  <si>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</si>
  <si>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</si>
  <si>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</si>
  <si>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</si>
  <si>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</si>
  <si>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</si>
  <si>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</si>
  <si>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</si>
  <si>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</si>
  <si>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</si>
  <si>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</si>
  <si>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</si>
  <si>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</si>
  <si>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</si>
  <si>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</si>
  <si>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</si>
  <si>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</si>
  <si>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</si>
  <si>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</si>
  <si>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</si>
  <si>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</si>
  <si>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</si>
  <si>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</si>
  <si>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</si>
  <si>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</si>
  <si>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</si>
  <si>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</si>
  <si>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</si>
  <si>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</si>
  <si>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</si>
  <si>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</si>
  <si>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</si>
  <si>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</si>
  <si>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</si>
  <si>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</si>
  <si>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</si>
  <si>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</si>
  <si>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</si>
  <si>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</si>
  <si>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</si>
  <si>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</si>
  <si>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</si>
  <si>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</si>
  <si>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</si>
  <si>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</si>
  <si>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</si>
  <si>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</si>
  <si>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</si>
  <si>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</si>
  <si>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</si>
  <si>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</si>
  <si>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</si>
  <si>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</si>
  <si>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</si>
  <si>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</si>
  <si>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</si>
  <si>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</si>
  <si>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</si>
  <si>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</si>
  <si>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</si>
  <si>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</si>
  <si>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</si>
  <si>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</si>
  <si>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</si>
  <si>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</si>
  <si>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</si>
  <si>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</si>
  <si>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</si>
  <si>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</si>
  <si>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</si>
  <si>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</si>
  <si>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</si>
  <si>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</si>
  <si>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</si>
  <si>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</si>
  <si>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</si>
  <si>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</si>
  <si>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</si>
  <si>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</si>
  <si>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</si>
  <si>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</si>
  <si>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</si>
  <si>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</si>
  <si>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</si>
  <si>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</si>
  <si>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</si>
  <si>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</si>
  <si>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</si>
  <si>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</si>
  <si>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</si>
  <si>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</si>
  <si>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</si>
  <si>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</si>
  <si>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</si>
  <si>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</si>
  <si>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</si>
  <si>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</si>
  <si>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</si>
  <si>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</si>
  <si>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</si>
  <si>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</si>
  <si>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</si>
  <si>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</si>
  <si>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</si>
  <si>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</si>
  <si>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</si>
  <si>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</si>
  <si>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</si>
  <si>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</si>
  <si>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</si>
  <si>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</si>
  <si>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</si>
  <si>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</si>
  <si>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</si>
  <si>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</si>
  <si>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</si>
  <si>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</si>
  <si>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</si>
  <si>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</si>
  <si>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</si>
  <si>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</si>
  <si>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</si>
  <si>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</si>
  <si>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</si>
  <si>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</si>
  <si>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</si>
  <si>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</si>
  <si>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</si>
  <si>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</si>
  <si>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</si>
  <si>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</si>
  <si>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</si>
  <si>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</si>
  <si>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</si>
  <si>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</si>
  <si>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</si>
  <si>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</si>
  <si>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</si>
  <si>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</si>
  <si>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</si>
  <si>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</si>
  <si>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</si>
  <si>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</si>
  <si>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</si>
  <si>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</si>
  <si>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</si>
  <si>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</si>
  <si>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</si>
  <si>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</si>
  <si>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</si>
  <si>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</si>
  <si>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</si>
  <si>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</si>
  <si>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</si>
  <si>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</si>
  <si>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</si>
  <si>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</si>
  <si>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</si>
  <si>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</si>
  <si>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</si>
  <si>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</si>
  <si>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</si>
  <si>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</si>
  <si>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</si>
  <si>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</si>
  <si>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</si>
  <si>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</si>
  <si>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</si>
  <si>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</si>
  <si>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</si>
  <si>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</si>
  <si>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</si>
  <si>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</si>
  <si>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</si>
  <si>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</si>
  <si>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</si>
  <si>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</si>
  <si>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</si>
  <si>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</si>
  <si>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</si>
  <si>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</si>
  <si>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</si>
  <si>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</si>
  <si>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</si>
  <si>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</si>
  <si>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</si>
  <si>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</si>
  <si>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</si>
  <si>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</si>
  <si>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</si>
  <si>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</si>
  <si>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</si>
  <si>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</si>
  <si>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</si>
  <si>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</si>
  <si>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</si>
  <si>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</si>
  <si>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</si>
  <si>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</si>
  <si>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</si>
  <si>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</si>
  <si>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</si>
  <si>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</si>
  <si>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</si>
  <si>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</si>
  <si>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</si>
  <si>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</si>
  <si>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</si>
  <si>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</si>
  <si>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</si>
  <si>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</si>
  <si>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</si>
  <si>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</si>
  <si>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</si>
  <si>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</si>
  <si>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</si>
  <si>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</si>
  <si>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</si>
  <si>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</si>
  <si>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</si>
  <si>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</si>
  <si>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</si>
  <si>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</si>
  <si>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</si>
  <si>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</si>
  <si>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</si>
  <si>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</si>
  <si>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</si>
  <si>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</si>
  <si>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</si>
  <si>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</si>
  <si>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</si>
  <si>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</si>
  <si>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</si>
  <si>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</si>
  <si>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</si>
  <si>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</si>
  <si>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</si>
  <si>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</si>
  <si>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</si>
  <si>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</si>
  <si>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</si>
  <si>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</si>
  <si>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</si>
  <si>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</si>
  <si>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</si>
  <si>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</si>
  <si>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</si>
  <si>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</si>
  <si>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</si>
  <si>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</si>
  <si>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</si>
  <si>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</si>
  <si>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</si>
  <si>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</si>
  <si>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</si>
  <si>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</si>
  <si>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</si>
  <si>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</si>
  <si>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</si>
  <si>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</si>
  <si>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</si>
  <si>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</si>
  <si>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</si>
  <si>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</si>
  <si>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</si>
  <si>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</si>
  <si>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</si>
  <si>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</si>
  <si>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</si>
  <si>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</si>
  <si>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</si>
  <si>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</si>
  <si>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</si>
  <si>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</si>
  <si>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</si>
  <si>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</si>
  <si>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</si>
  <si>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</si>
  <si>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</si>
  <si>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</si>
  <si>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</si>
  <si>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</si>
  <si>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</si>
  <si>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</si>
  <si>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</si>
  <si>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</si>
  <si>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</si>
  <si>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</si>
  <si>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</si>
  <si>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</si>
  <si>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</si>
  <si>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</si>
  <si>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</si>
  <si>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</si>
  <si>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</si>
  <si>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</si>
  <si>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</si>
  <si>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</si>
  <si>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</si>
  <si>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</si>
  <si>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</si>
  <si>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</si>
  <si>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</si>
  <si>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</si>
  <si>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</si>
  <si>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</si>
  <si>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</si>
  <si>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</si>
  <si>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</si>
  <si>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</si>
  <si>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</si>
  <si>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</si>
  <si>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</si>
  <si>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</si>
  <si>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</si>
  <si>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</si>
  <si>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</si>
  <si>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</si>
  <si>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</si>
  <si>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</si>
  <si>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</si>
  <si>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</si>
  <si>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</si>
  <si>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</si>
  <si>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</si>
  <si>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</si>
  <si>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</si>
  <si>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</si>
  <si>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</si>
  <si>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</si>
  <si>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</si>
  <si>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</si>
  <si>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</si>
  <si>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</si>
  <si>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</si>
  <si>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</si>
  <si>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</si>
  <si>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</si>
  <si>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</si>
  <si>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</si>
  <si>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</si>
  <si>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</si>
  <si>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</si>
  <si>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</si>
  <si>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</si>
  <si>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</si>
  <si>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</si>
  <si>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</si>
  <si>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</si>
  <si>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</si>
  <si>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</si>
  <si>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</si>
  <si>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</si>
  <si>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</si>
  <si>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</si>
  <si>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</si>
  <si>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</si>
  <si>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</si>
  <si>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</si>
  <si>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</si>
  <si>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</si>
  <si>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</si>
  <si>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</si>
  <si>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</si>
  <si>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</si>
  <si>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</si>
  <si>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</si>
  <si>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</si>
  <si>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</si>
  <si>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</si>
  <si>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</si>
  <si>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</si>
  <si>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</si>
  <si>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</si>
  <si>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</si>
  <si>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</si>
  <si>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</si>
  <si>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</si>
  <si>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</si>
  <si>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</si>
  <si>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</si>
  <si>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</si>
  <si>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</si>
  <si>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</si>
  <si>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</si>
  <si>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</si>
  <si>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</si>
  <si>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</si>
  <si>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</si>
  <si>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</si>
  <si>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</si>
  <si>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</si>
  <si>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</si>
  <si>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</si>
  <si>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</si>
  <si>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</si>
  <si>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</si>
  <si>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</si>
  <si>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</si>
  <si>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</si>
  <si>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</si>
  <si>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</si>
  <si>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</si>
  <si>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</si>
  <si>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</si>
  <si>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</si>
  <si>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</si>
  <si>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</si>
  <si>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</si>
  <si>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</si>
  <si>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</si>
  <si>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</si>
  <si>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</si>
  <si>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</si>
  <si>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</si>
  <si>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</si>
  <si>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</si>
  <si>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</si>
  <si>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</si>
  <si>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</si>
  <si>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</si>
  <si>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</si>
  <si>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</si>
  <si>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</si>
  <si>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</si>
  <si>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</si>
  <si>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</si>
  <si>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</si>
  <si>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</si>
  <si>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</si>
  <si>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</si>
  <si>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</si>
  <si>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</si>
  <si>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</si>
  <si>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</si>
  <si>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</si>
  <si>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</si>
  <si>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</si>
  <si>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</si>
  <si>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</si>
  <si>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</si>
  <si>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</si>
  <si>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</si>
  <si>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</si>
  <si>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</si>
  <si>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</si>
  <si>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</si>
  <si>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</si>
  <si>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</si>
  <si>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</si>
  <si>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</si>
  <si>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</si>
  <si>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</si>
  <si>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</si>
  <si>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</si>
  <si>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</si>
  <si>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</si>
  <si>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</si>
  <si>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</si>
  <si>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</si>
  <si>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</si>
  <si>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</si>
  <si>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</si>
  <si>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</si>
  <si>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</si>
  <si>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</si>
  <si>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</si>
  <si>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</si>
  <si>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</si>
  <si>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</si>
  <si>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</si>
  <si>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</si>
  <si>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</si>
  <si>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</si>
  <si>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</si>
  <si>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</si>
  <si>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</si>
  <si>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</si>
  <si>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</si>
  <si>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</si>
  <si>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</si>
  <si>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</si>
  <si>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</si>
  <si>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</si>
  <si>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</si>
  <si>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</si>
  <si>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</si>
  <si>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</si>
  <si>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</si>
  <si>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</si>
  <si>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</si>
  <si>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</si>
  <si>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</si>
  <si>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</si>
  <si>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</si>
  <si>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</si>
  <si>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</si>
  <si>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</si>
  <si>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</si>
  <si>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</si>
  <si>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</si>
  <si>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</si>
  <si>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</si>
  <si>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</si>
  <si>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</si>
  <si>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</si>
  <si>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</si>
  <si>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</si>
  <si>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</si>
  <si>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</si>
  <si>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</si>
  <si>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</si>
  <si>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</si>
  <si>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</si>
  <si>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</si>
  <si>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</si>
  <si>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</si>
  <si>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</si>
  <si>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</si>
  <si>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</si>
  <si>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</si>
  <si>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</si>
  <si>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</si>
  <si>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</si>
  <si>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</si>
  <si>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</si>
  <si>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</si>
  <si>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</si>
  <si>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</si>
  <si>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</si>
  <si>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</si>
  <si>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</si>
  <si>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</si>
  <si>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</si>
  <si>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</si>
  <si>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</si>
  <si>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</si>
  <si>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</si>
  <si>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</si>
  <si>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</si>
  <si>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</si>
  <si>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</si>
  <si>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</si>
  <si>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</si>
  <si>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</si>
  <si>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</si>
  <si>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</si>
  <si>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</si>
  <si>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</si>
  <si>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</si>
  <si>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</si>
  <si>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</si>
  <si>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</si>
  <si>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</si>
  <si>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</si>
  <si>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</si>
  <si>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</si>
  <si>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</si>
  <si>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</si>
  <si>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</si>
  <si>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</si>
  <si>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</si>
  <si>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</si>
  <si>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</si>
  <si>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</si>
  <si>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</si>
  <si>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</si>
  <si>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</si>
  <si>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</si>
  <si>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</si>
  <si>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</si>
  <si>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</si>
  <si>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</si>
  <si>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</si>
  <si>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</si>
  <si>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</si>
  <si>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</si>
  <si>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</si>
  <si>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</si>
  <si>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</si>
  <si>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</si>
  <si>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</si>
  <si>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</si>
  <si>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</si>
  <si>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</si>
  <si>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</si>
  <si>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</si>
  <si>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</si>
  <si>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</si>
  <si>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</si>
  <si>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</si>
  <si>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</si>
  <si>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</si>
  <si>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</si>
  <si>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</si>
  <si>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</si>
  <si>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</si>
  <si>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</si>
  <si>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</si>
  <si>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</si>
  <si>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</si>
  <si>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</si>
  <si>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</si>
  <si>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</si>
  <si>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</si>
  <si>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</si>
  <si>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</si>
  <si>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</si>
  <si>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</si>
  <si>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</si>
  <si>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</si>
  <si>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</si>
  <si>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</si>
  <si>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</si>
  <si>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</si>
  <si>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</si>
  <si>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</si>
  <si>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</si>
  <si>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</si>
  <si>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</si>
  <si>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</si>
  <si>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</si>
  <si>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</si>
  <si>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</si>
  <si>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</si>
  <si>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</si>
  <si>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</si>
  <si>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</si>
  <si>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</si>
  <si>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</si>
  <si>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</si>
  <si>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</si>
  <si>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</si>
  <si>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</si>
  <si>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</si>
  <si>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</si>
  <si>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</si>
  <si>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</si>
  <si>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</si>
  <si>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</si>
  <si>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</si>
  <si>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</si>
  <si>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</si>
  <si>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</si>
  <si>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</si>
  <si>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</si>
  <si>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</si>
  <si>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</si>
  <si>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</si>
  <si>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</si>
  <si>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</si>
  <si>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</si>
  <si>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</si>
  <si>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</si>
  <si>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</si>
  <si>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</si>
  <si>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</si>
  <si>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</si>
  <si>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</si>
  <si>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</si>
  <si>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</si>
  <si>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</si>
  <si>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</si>
  <si>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</si>
  <si>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</si>
  <si>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</si>
  <si>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</si>
  <si>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</si>
  <si>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</si>
  <si>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</si>
  <si>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</si>
  <si>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</si>
  <si>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</si>
  <si>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</si>
  <si>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</si>
  <si>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</si>
  <si>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</si>
  <si>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</si>
  <si>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</si>
  <si>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</si>
  <si>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</si>
  <si>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</si>
  <si>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</si>
  <si>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</si>
  <si>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</si>
  <si>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</si>
  <si>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</si>
  <si>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</si>
  <si>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</si>
  <si>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</si>
  <si>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</si>
  <si>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</si>
  <si>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</si>
  <si>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</si>
  <si>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</si>
  <si>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</si>
  <si>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</si>
  <si>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</si>
  <si>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</si>
  <si>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</si>
  <si>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</si>
  <si>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</si>
  <si>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</si>
  <si>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</si>
  <si>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</si>
  <si>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</si>
  <si>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</si>
  <si>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</si>
  <si>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</si>
  <si>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</si>
  <si>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</si>
  <si>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</si>
  <si>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</si>
  <si>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</si>
  <si>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</si>
  <si>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</si>
  <si>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</si>
  <si>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</si>
  <si>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</si>
  <si>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</si>
  <si>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</si>
  <si>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</si>
  <si>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</si>
  <si>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</si>
  <si>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</si>
  <si>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</si>
  <si>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</si>
  <si>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</si>
  <si>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</si>
  <si>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</si>
  <si>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</si>
  <si>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</si>
  <si>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</si>
  <si>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</si>
  <si>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</si>
  <si>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</si>
  <si>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</si>
  <si>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</si>
  <si>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</si>
  <si>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</si>
  <si>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</si>
  <si>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</si>
  <si>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</si>
  <si>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</si>
  <si>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</si>
  <si>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</si>
  <si>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</si>
  <si>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</si>
  <si>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</si>
  <si>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</si>
  <si>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</si>
  <si>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</si>
  <si>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</si>
  <si>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</si>
  <si>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</si>
  <si>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</si>
  <si>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</si>
  <si>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</si>
  <si>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</si>
  <si>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</si>
  <si>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</si>
  <si>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</si>
  <si>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</si>
  <si>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</si>
  <si>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</si>
  <si>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</si>
  <si>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</si>
  <si>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</si>
  <si>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</si>
  <si>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</si>
  <si>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</si>
  <si>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</si>
  <si>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</si>
  <si>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</si>
  <si>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</si>
  <si>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</si>
  <si>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</si>
  <si>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</si>
  <si>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</si>
  <si>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</si>
  <si>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</si>
  <si>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</si>
  <si>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</si>
  <si>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</si>
  <si>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</si>
  <si>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</si>
  <si>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</si>
  <si>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</si>
  <si>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</si>
  <si>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</si>
  <si>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</si>
  <si>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</si>
  <si>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</si>
  <si>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</si>
  <si>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</si>
  <si>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</si>
  <si>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</si>
  <si>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</si>
  <si>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</si>
  <si>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</si>
  <si>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</si>
  <si>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</si>
  <si>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</si>
  <si>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</si>
  <si>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</si>
  <si>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</si>
  <si>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</si>
  <si>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</si>
  <si>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</si>
  <si>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</si>
  <si>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</si>
  <si>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</si>
  <si>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</si>
  <si>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</si>
  <si>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</si>
  <si>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</si>
  <si>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</si>
  <si>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</si>
  <si>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</si>
  <si>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</si>
  <si>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</si>
  <si>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</si>
  <si>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</si>
  <si>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</si>
  <si>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</si>
  <si>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</si>
  <si>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</si>
  <si>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</si>
  <si>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</si>
  <si>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</si>
  <si>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</si>
  <si>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</si>
  <si>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</si>
  <si>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</si>
  <si>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</si>
  <si>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</si>
  <si>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</si>
  <si>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</si>
  <si>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</si>
  <si>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</si>
  <si>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</si>
  <si>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</si>
  <si>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</si>
  <si>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</si>
  <si>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</si>
  <si>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</si>
  <si>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</si>
  <si>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</si>
  <si>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</si>
  <si>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</si>
  <si>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</si>
  <si>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</si>
  <si>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</si>
  <si>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</si>
  <si>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</si>
  <si>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</si>
  <si>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</si>
  <si>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</si>
  <si>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</si>
  <si>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</si>
  <si>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</si>
  <si>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</si>
  <si>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</si>
  <si>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</si>
  <si>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</si>
  <si>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</si>
  <si>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</si>
  <si>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</si>
  <si>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</si>
  <si>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</si>
  <si>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</si>
  <si>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</si>
  <si>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</si>
  <si>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</si>
  <si>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</si>
  <si>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</si>
  <si>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</si>
  <si>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</si>
  <si>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</si>
  <si>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</si>
  <si>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</si>
  <si>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</si>
  <si>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</si>
  <si>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</si>
  <si>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</si>
  <si>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</si>
  <si>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</si>
  <si>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</si>
  <si>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</si>
  <si>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</si>
  <si>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</si>
  <si>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</si>
  <si>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</si>
  <si>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</si>
  <si>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</si>
  <si>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</si>
  <si>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</si>
  <si>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</si>
  <si>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</si>
  <si>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</si>
  <si>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</si>
  <si>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</si>
  <si>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</si>
  <si>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</si>
  <si>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</si>
  <si>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</si>
  <si>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</si>
  <si>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</si>
  <si>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</si>
  <si>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</si>
  <si>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</si>
  <si>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</si>
  <si>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</si>
  <si>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</si>
  <si>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</si>
  <si>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</si>
  <si>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</si>
  <si>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</si>
  <si>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</si>
  <si>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</si>
  <si>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</si>
  <si>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</si>
  <si>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</si>
  <si>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</si>
  <si>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</si>
  <si>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</si>
  <si>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</si>
  <si>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</si>
  <si>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</si>
  <si>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</si>
  <si>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</si>
  <si>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</si>
  <si>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</si>
  <si>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</si>
  <si>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</si>
  <si>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</si>
  <si>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</si>
  <si>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</si>
  <si>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</si>
  <si>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</si>
  <si>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</si>
  <si>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</si>
  <si>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</si>
  <si>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</si>
  <si>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</si>
  <si>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</si>
  <si>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</si>
  <si>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</si>
  <si>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</si>
  <si>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</si>
  <si>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</si>
  <si>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</si>
  <si>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</si>
  <si>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</si>
  <si>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</si>
  <si>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</si>
  <si>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</si>
  <si>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</si>
  <si>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</si>
  <si>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</si>
  <si>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</si>
  <si>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</si>
  <si>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</si>
  <si>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</si>
  <si>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</si>
  <si>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</si>
  <si>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</si>
  <si>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</si>
  <si>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</si>
  <si>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</si>
  <si>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</si>
  <si>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</si>
  <si>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</si>
  <si>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</si>
  <si>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</si>
  <si>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</si>
  <si>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</si>
  <si>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</si>
  <si>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</si>
  <si>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</si>
  <si>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</si>
  <si>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</si>
  <si>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</si>
  <si>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</si>
  <si>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</si>
  <si>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</si>
  <si>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</si>
  <si>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</si>
  <si>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</si>
  <si>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</si>
  <si>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</si>
  <si>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</si>
  <si>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</si>
  <si>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</si>
  <si>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</si>
  <si>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</si>
  <si>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</si>
  <si>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</si>
  <si>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</si>
  <si>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</si>
  <si>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</si>
  <si>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</si>
  <si>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</si>
  <si>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</si>
  <si>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</si>
  <si>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</si>
  <si>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</si>
  <si>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</si>
  <si>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</si>
  <si>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</si>
  <si>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</si>
  <si>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</si>
  <si>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</si>
  <si>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</si>
  <si>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</si>
  <si>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</si>
  <si>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</si>
  <si>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</si>
  <si>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</si>
  <si>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</si>
  <si>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</si>
  <si>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</si>
  <si>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</si>
  <si>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</si>
  <si>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</si>
  <si>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</si>
  <si>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</si>
  <si>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</si>
  <si>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</si>
  <si>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</si>
  <si>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</si>
  <si>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</si>
  <si>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</si>
  <si>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</si>
  <si>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</si>
  <si>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</si>
  <si>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</si>
  <si>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</si>
  <si>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</si>
  <si>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</si>
  <si>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</si>
  <si>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</si>
  <si>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</si>
  <si>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</si>
  <si>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</si>
  <si>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</si>
  <si>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</si>
  <si>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</si>
  <si>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</si>
  <si>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</si>
  <si>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</si>
  <si>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</si>
  <si>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</si>
  <si>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</si>
  <si>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</si>
  <si>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</si>
  <si>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</si>
  <si>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</si>
  <si>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</si>
  <si>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</si>
  <si>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</si>
  <si>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</si>
  <si>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</si>
  <si>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</si>
  <si>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</si>
  <si>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</si>
  <si>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</si>
  <si>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</si>
  <si>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</si>
  <si>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</si>
  <si>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</si>
  <si>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</si>
  <si>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</si>
  <si>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</si>
  <si>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</si>
  <si>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</si>
  <si>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</si>
  <si>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</si>
  <si>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</si>
  <si>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</si>
  <si>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</si>
  <si>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</si>
  <si>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</si>
  <si>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</si>
  <si>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</si>
  <si>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</si>
  <si>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</si>
  <si>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</si>
  <si>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</si>
  <si>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</si>
  <si>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</si>
  <si>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</si>
  <si>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</si>
  <si>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</si>
  <si>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</si>
  <si>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</si>
  <si>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</si>
  <si>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</si>
  <si>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</si>
  <si>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</si>
  <si>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</si>
  <si>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</si>
  <si>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</si>
  <si>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</si>
  <si>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</si>
  <si>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</si>
  <si>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</si>
  <si>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</si>
  <si>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</si>
  <si>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</si>
  <si>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</si>
  <si>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</si>
  <si>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</si>
  <si>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</si>
  <si>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</si>
  <si>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</si>
  <si>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</si>
  <si>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</si>
  <si>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</si>
  <si>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</si>
  <si>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</si>
  <si>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</si>
  <si>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</si>
  <si>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</si>
  <si>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</si>
  <si>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</si>
  <si>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</si>
  <si>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</si>
  <si>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</si>
  <si>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</si>
  <si>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</si>
  <si>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</si>
  <si>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</si>
  <si>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</si>
  <si>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</si>
  <si>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</si>
  <si>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</si>
  <si>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</si>
  <si>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</si>
  <si>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</si>
  <si>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</si>
  <si>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</si>
  <si>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</si>
  <si>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</si>
  <si>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</si>
  <si>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</si>
  <si>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</si>
  <si>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</si>
  <si>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</si>
  <si>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</si>
  <si>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</si>
  <si>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</si>
  <si>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</si>
  <si>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</si>
  <si>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</si>
  <si>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</si>
  <si>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</si>
  <si>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</si>
  <si>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</si>
  <si>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</si>
  <si>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</si>
  <si>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</si>
  <si>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</si>
  <si>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</si>
  <si>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</si>
  <si>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</si>
  <si>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</si>
  <si>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</si>
  <si>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</si>
  <si>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</si>
  <si>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</si>
  <si>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</si>
  <si>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</si>
  <si>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</si>
  <si>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</si>
  <si>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</si>
  <si>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</si>
  <si>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</si>
  <si>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</si>
  <si>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</si>
  <si>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</si>
  <si>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</si>
  <si>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</si>
  <si>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</si>
  <si>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</si>
  <si>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</si>
  <si>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</si>
  <si>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</si>
  <si>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</si>
  <si>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</si>
  <si>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</si>
  <si>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</si>
  <si>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</si>
  <si>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</si>
  <si>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</si>
  <si>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</si>
  <si>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</si>
  <si>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</si>
  <si>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</si>
  <si>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</si>
  <si>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</si>
  <si>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</si>
  <si>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</si>
  <si>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</si>
  <si>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</si>
  <si>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</si>
  <si>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</si>
  <si>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</si>
  <si>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</si>
  <si>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</si>
  <si>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</si>
  <si>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</si>
  <si>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</si>
  <si>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</si>
  <si>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</si>
  <si>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</si>
  <si>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</si>
  <si>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</si>
  <si>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</si>
  <si>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</si>
  <si>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</si>
  <si>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</si>
  <si>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</si>
  <si>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</si>
  <si>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</si>
  <si>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</si>
  <si>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</si>
  <si>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</si>
  <si>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</si>
  <si>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</si>
  <si>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</si>
  <si>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</si>
  <si>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</si>
  <si>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</si>
  <si>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</si>
  <si>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</si>
  <si>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</si>
  <si>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</si>
  <si>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</si>
  <si>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</si>
  <si>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</si>
  <si>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</si>
  <si>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</si>
  <si>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</si>
  <si>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</si>
  <si>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</si>
  <si>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</si>
  <si>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</si>
  <si>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</si>
  <si>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</si>
  <si>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</si>
  <si>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</si>
  <si>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</si>
  <si>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</si>
  <si>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</si>
  <si>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</si>
  <si>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</si>
  <si>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</si>
  <si>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</si>
  <si>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</si>
  <si>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</si>
  <si>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</si>
  <si>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</si>
  <si>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</si>
  <si>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</si>
  <si>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</si>
  <si>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</si>
  <si>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</si>
  <si>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</si>
  <si>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</si>
  <si>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</si>
  <si>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</si>
  <si>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</si>
  <si>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</si>
  <si>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</si>
  <si>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</si>
  <si>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</si>
  <si>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</si>
  <si>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</si>
  <si>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</si>
  <si>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</si>
  <si>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</si>
  <si>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</si>
  <si>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</si>
  <si>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</si>
  <si>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</si>
  <si>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</si>
  <si>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</si>
  <si>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</si>
  <si>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</si>
  <si>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</si>
  <si>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</si>
  <si>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</si>
  <si>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</si>
  <si>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</si>
  <si>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</si>
  <si>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</si>
  <si>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</si>
  <si>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</si>
  <si>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</si>
  <si>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</si>
  <si>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</si>
  <si>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</si>
  <si>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</si>
  <si>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</si>
  <si>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</si>
  <si>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</si>
  <si>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</si>
  <si>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</si>
  <si>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</si>
  <si>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</si>
  <si>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</si>
  <si>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</si>
  <si>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</si>
  <si>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</si>
  <si>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</si>
  <si>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</si>
  <si>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</si>
  <si>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</si>
  <si>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</si>
  <si>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</si>
  <si>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</si>
  <si>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</si>
  <si>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</si>
  <si>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</si>
  <si>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</si>
  <si>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</si>
  <si>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</si>
  <si>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</si>
  <si>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</si>
  <si>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</si>
  <si>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</si>
  <si>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</si>
  <si>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</si>
  <si>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</si>
  <si>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</si>
  <si>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</si>
  <si>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</si>
  <si>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</si>
  <si>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</si>
  <si>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</si>
  <si>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</si>
  <si>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</si>
  <si>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</si>
  <si>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</si>
  <si>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</si>
  <si>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</si>
  <si>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</si>
  <si>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</si>
  <si>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</si>
  <si>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</si>
  <si>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</si>
  <si>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</si>
  <si>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</si>
  <si>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</si>
  <si>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</si>
  <si>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</si>
  <si>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</si>
  <si>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</si>
  <si>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</si>
  <si>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</si>
  <si>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</si>
  <si>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</si>
  <si>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</si>
  <si>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</si>
  <si>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</si>
  <si>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</si>
  <si>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</si>
  <si>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</si>
  <si>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</si>
  <si>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</si>
  <si>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</si>
  <si>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</si>
  <si>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</si>
  <si>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</si>
  <si>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</si>
  <si>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</si>
  <si>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</si>
  <si>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</si>
  <si>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</si>
  <si>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</si>
  <si>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</si>
  <si>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</si>
  <si>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</si>
  <si>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</si>
  <si>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</si>
  <si>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</si>
  <si>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</si>
  <si>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</si>
  <si>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</si>
  <si>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</si>
  <si>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</si>
  <si>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</si>
  <si>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</si>
  <si>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</si>
  <si>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</si>
  <si>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</si>
  <si>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</si>
  <si>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</si>
  <si>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</si>
  <si>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</si>
  <si>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</si>
  <si>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</si>
  <si>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</si>
  <si>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</si>
  <si>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</si>
  <si>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</si>
  <si>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</si>
  <si>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</si>
  <si>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</si>
  <si>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</si>
  <si>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</si>
  <si>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</si>
  <si>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</si>
  <si>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</si>
  <si>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</si>
  <si>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</si>
  <si>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</si>
  <si>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</si>
  <si>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</si>
  <si>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</si>
  <si>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</si>
  <si>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</si>
  <si>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</si>
  <si>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</si>
  <si>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</si>
  <si>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</si>
  <si>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</si>
  <si>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</si>
  <si>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</si>
  <si>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</si>
  <si>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</si>
  <si>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</si>
  <si>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</si>
  <si>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</si>
  <si>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</si>
  <si>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</si>
  <si>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</si>
  <si>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</si>
  <si>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</si>
  <si>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</si>
  <si>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</si>
  <si>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</si>
  <si>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</si>
  <si>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</si>
  <si>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</si>
  <si>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</si>
  <si>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</si>
  <si>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</si>
  <si>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</si>
  <si>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</si>
  <si>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</si>
  <si>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</si>
  <si>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</si>
  <si>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</si>
  <si>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</si>
  <si>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</si>
  <si>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</si>
  <si>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</si>
  <si>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</si>
  <si>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</si>
  <si>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</si>
  <si>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</si>
  <si>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</si>
  <si>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</si>
  <si>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</si>
  <si>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</si>
  <si>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</si>
  <si>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</si>
  <si>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</si>
  <si>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</si>
  <si>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</si>
  <si>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</si>
  <si>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</si>
  <si>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</si>
  <si>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</si>
  <si>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</si>
  <si>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</si>
  <si>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</si>
  <si>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</si>
  <si>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</si>
  <si>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</si>
  <si>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</si>
  <si>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</si>
  <si>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</si>
  <si>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</si>
  <si>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</si>
  <si>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</si>
  <si>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</si>
  <si>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</si>
  <si>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</si>
  <si>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</si>
  <si>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</si>
  <si>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</si>
  <si>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</si>
  <si>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</si>
  <si>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</si>
  <si>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</si>
  <si>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</si>
  <si>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</si>
  <si>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</si>
  <si>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</si>
  <si>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</si>
  <si>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</si>
  <si>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</si>
  <si>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</si>
  <si>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</si>
  <si>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</si>
  <si>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</si>
  <si>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</si>
  <si>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</si>
  <si>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</si>
  <si>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</si>
  <si>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</si>
  <si>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</si>
  <si>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</si>
  <si>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</si>
  <si>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</si>
  <si>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</si>
  <si>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</si>
  <si>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</si>
  <si>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</si>
  <si>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</si>
  <si>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</si>
  <si>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</si>
  <si>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</si>
  <si>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</si>
  <si>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</si>
  <si>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</si>
  <si>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</si>
  <si>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</si>
  <si>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</si>
  <si>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</si>
  <si>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</si>
  <si>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</si>
  <si>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</si>
  <si>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</si>
  <si>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</si>
  <si>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</si>
  <si>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</si>
  <si>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</si>
  <si>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</si>
  <si>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</si>
  <si>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</si>
  <si>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</si>
  <si>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</si>
  <si>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</si>
  <si>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</si>
  <si>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</si>
  <si>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</si>
  <si>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</si>
  <si>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</si>
  <si>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</si>
  <si>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</si>
  <si>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</si>
  <si>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</si>
  <si>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</si>
  <si>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</si>
  <si>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</si>
  <si>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</si>
  <si>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</si>
  <si>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</si>
  <si>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</si>
  <si>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</si>
  <si>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</si>
  <si>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</si>
  <si>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</si>
  <si>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</si>
  <si>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</si>
  <si>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</si>
  <si>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</si>
  <si>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</si>
  <si>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</si>
  <si>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</si>
  <si>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</si>
  <si>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</si>
  <si>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</si>
  <si>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</si>
  <si>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</si>
  <si>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</si>
  <si>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</si>
  <si>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</si>
  <si>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</si>
  <si>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</si>
  <si>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</si>
  <si>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</si>
  <si>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</si>
  <si>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</si>
  <si>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</si>
  <si>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</si>
  <si>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</si>
  <si>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</si>
  <si>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</si>
  <si>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</si>
  <si>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</si>
  <si>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</si>
  <si>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</si>
  <si>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</si>
  <si>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</si>
  <si>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</si>
  <si>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</si>
  <si>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</si>
  <si>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</si>
  <si>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</si>
  <si>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</si>
  <si>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</si>
  <si>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</si>
  <si>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</si>
  <si>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</si>
  <si>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</si>
  <si>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</si>
  <si>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</si>
  <si>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</si>
  <si>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</si>
  <si>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</si>
  <si>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</si>
  <si>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</si>
  <si>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</si>
  <si>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</si>
  <si>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</si>
  <si>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</si>
  <si>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</si>
  <si>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</si>
  <si>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</si>
  <si>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</si>
  <si>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</si>
  <si>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</si>
  <si>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</si>
  <si>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</si>
  <si>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</si>
  <si>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</si>
  <si>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</si>
  <si>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</si>
  <si>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</si>
  <si>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</si>
  <si>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</si>
  <si>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</si>
  <si>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</si>
  <si>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</si>
  <si>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</si>
  <si>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</si>
  <si>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</si>
  <si>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</si>
  <si>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</si>
  <si>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</si>
  <si>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</si>
  <si>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</si>
  <si>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</si>
  <si>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</si>
  <si>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</si>
  <si>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</si>
  <si>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</si>
  <si>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</si>
  <si>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</si>
  <si>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</si>
  <si>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</si>
  <si>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</si>
  <si>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</si>
  <si>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</si>
  <si>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</si>
  <si>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</si>
  <si>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</si>
  <si>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</si>
  <si>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</si>
  <si>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</si>
  <si>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</si>
  <si>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</si>
  <si>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</si>
  <si>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</si>
  <si>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</si>
  <si>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</si>
  <si>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</si>
  <si>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</si>
  <si>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</si>
  <si>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</si>
  <si>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</si>
  <si>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</si>
  <si>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</si>
  <si>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</si>
  <si>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</si>
  <si>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</si>
  <si>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</si>
  <si>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</si>
  <si>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</si>
  <si>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</si>
  <si>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</si>
  <si>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</si>
  <si>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</si>
  <si>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</si>
  <si>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</si>
  <si>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</si>
  <si>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</si>
  <si>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</si>
  <si>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</si>
  <si>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</si>
  <si>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</si>
  <si>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</si>
  <si>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</si>
  <si>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</si>
  <si>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</si>
  <si>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</si>
  <si>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</si>
  <si>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</si>
  <si>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</si>
  <si>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</si>
  <si>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</si>
  <si>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</si>
  <si>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</si>
  <si>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</si>
  <si>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</si>
  <si>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</si>
  <si>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</si>
  <si>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</si>
  <si>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</si>
  <si>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</si>
  <si>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</si>
  <si>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</si>
  <si>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</si>
  <si>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</si>
  <si>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</si>
  <si>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</si>
  <si>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</si>
  <si>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</si>
  <si>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</si>
  <si>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</si>
  <si>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</si>
  <si>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</si>
  <si>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</si>
  <si>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</si>
  <si>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</si>
  <si>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</si>
  <si>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</si>
  <si>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</si>
  <si>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</si>
  <si>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</si>
  <si>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</si>
  <si>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</si>
  <si>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</si>
  <si>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</si>
  <si>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</si>
  <si>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</si>
  <si>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</si>
  <si>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</si>
  <si>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</si>
  <si>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</si>
  <si>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</si>
  <si>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</si>
  <si>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</si>
  <si>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</si>
  <si>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</si>
  <si>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</si>
  <si>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</si>
  <si>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</si>
  <si>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</si>
  <si>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</si>
  <si>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</si>
  <si>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</si>
  <si>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</si>
  <si>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</si>
  <si>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</si>
  <si>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</si>
  <si>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</si>
  <si>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</si>
  <si>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</si>
  <si>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</si>
  <si>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</si>
  <si>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</si>
  <si>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</si>
  <si>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</si>
  <si>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</si>
  <si>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</si>
  <si>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</si>
  <si>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</si>
  <si>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</si>
  <si>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</si>
  <si>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</si>
  <si>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</si>
  <si>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</si>
  <si>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</si>
  <si>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</si>
  <si>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</si>
  <si>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</si>
  <si>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</si>
  <si>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</si>
  <si>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</si>
  <si>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</si>
  <si>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</si>
  <si>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</si>
  <si>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</si>
  <si>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</si>
  <si>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</si>
  <si>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</si>
  <si>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</si>
  <si>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</si>
  <si>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</si>
  <si>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</si>
  <si>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</si>
  <si>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</si>
  <si>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</si>
  <si>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</si>
  <si>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</si>
  <si>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</si>
  <si>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</si>
  <si>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</si>
  <si>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</si>
  <si>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</si>
  <si>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</si>
  <si>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</si>
  <si>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</si>
  <si>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</si>
  <si>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</si>
  <si>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</si>
  <si>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</si>
  <si>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</si>
  <si>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</si>
  <si>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</si>
  <si>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</si>
  <si>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</si>
  <si>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</si>
  <si>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</si>
  <si>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</si>
  <si>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</si>
  <si>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</si>
  <si>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</si>
  <si>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</si>
  <si>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</si>
  <si>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</si>
  <si>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</si>
  <si>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</si>
  <si>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</si>
  <si>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</si>
  <si>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</si>
  <si>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</si>
  <si>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</si>
  <si>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</si>
  <si>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</si>
  <si>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</si>
  <si>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</si>
  <si>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</si>
  <si>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</si>
  <si>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</si>
  <si>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</si>
  <si>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</si>
  <si>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</si>
  <si>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</si>
  <si>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</si>
  <si>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</si>
  <si>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</si>
  <si>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</si>
  <si>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</si>
  <si>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</si>
  <si>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</si>
  <si>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</si>
  <si>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</si>
  <si>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</si>
  <si>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</si>
  <si>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</si>
  <si>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</si>
  <si>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</si>
  <si>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</si>
  <si>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</si>
  <si>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</si>
  <si>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</si>
  <si>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</si>
  <si>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</si>
  <si>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</si>
  <si>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</si>
  <si>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</si>
  <si>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</si>
  <si>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</si>
  <si>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</si>
  <si>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</si>
  <si>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</si>
  <si>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</si>
  <si>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</si>
  <si>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</si>
  <si>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</si>
  <si>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</si>
  <si>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</si>
  <si>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</si>
  <si>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</si>
  <si>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</si>
  <si>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</si>
  <si>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</si>
  <si>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</si>
  <si>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</si>
  <si>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</si>
  <si>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</si>
  <si>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</si>
  <si>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</si>
  <si>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</si>
  <si>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</si>
  <si>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</si>
  <si>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</si>
  <si>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</si>
  <si>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</si>
  <si>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</si>
  <si>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</si>
  <si>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</si>
  <si>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</si>
  <si>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</si>
  <si>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</si>
  <si>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</si>
  <si>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</si>
  <si>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</si>
  <si>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</si>
  <si>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</si>
  <si>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</si>
  <si>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</si>
  <si>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</si>
  <si>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</si>
  <si>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</si>
  <si>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</si>
  <si>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</si>
  <si>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</si>
  <si>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</si>
  <si>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</si>
  <si>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</si>
  <si>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</si>
  <si>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</si>
  <si>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</si>
  <si>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</si>
  <si>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</si>
  <si>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</si>
  <si>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</si>
  <si>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</si>
  <si>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</si>
  <si>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</si>
  <si>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</si>
  <si>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</si>
  <si>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</si>
  <si>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</si>
  <si>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</si>
  <si>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</si>
  <si>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</si>
  <si>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</si>
  <si>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</si>
  <si>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</si>
  <si>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</si>
  <si>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</si>
  <si>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</si>
  <si>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</si>
  <si>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</si>
  <si>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</si>
  <si>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</si>
  <si>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</si>
  <si>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</si>
  <si>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</si>
  <si>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</si>
  <si>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</si>
  <si>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</si>
  <si>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</si>
  <si>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</si>
  <si>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</si>
  <si>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</si>
  <si>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</si>
  <si>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</si>
  <si>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</si>
  <si>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</si>
  <si>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</si>
  <si>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</si>
  <si>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</si>
  <si>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</si>
  <si>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</si>
  <si>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</si>
  <si>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</si>
  <si>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</si>
  <si>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</si>
  <si>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</si>
  <si>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</si>
  <si>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</si>
  <si>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</si>
  <si>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</si>
  <si>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</si>
  <si>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</si>
  <si>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</si>
  <si>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</si>
  <si>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</si>
  <si>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</si>
  <si>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</si>
  <si>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</si>
  <si>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</si>
  <si>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</si>
  <si>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</si>
  <si>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</si>
  <si>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</si>
  <si>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</si>
  <si>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</si>
  <si>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</si>
  <si>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</si>
  <si>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</si>
  <si>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</si>
  <si>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</si>
  <si>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</si>
  <si>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</si>
  <si>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</si>
  <si>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</si>
  <si>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</si>
  <si>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</si>
  <si>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</si>
  <si>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</si>
  <si>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</si>
  <si>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</si>
  <si>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</si>
  <si>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</si>
  <si>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</si>
  <si>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</si>
  <si>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</si>
  <si>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</si>
  <si>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</si>
  <si>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</si>
  <si>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</si>
  <si>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</si>
  <si>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</si>
  <si>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</si>
  <si>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</si>
  <si>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</si>
  <si>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</si>
  <si>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</si>
  <si>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</si>
  <si>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</si>
  <si>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</si>
  <si>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</si>
  <si>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</si>
  <si>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</si>
  <si>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</si>
  <si>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</si>
  <si>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</si>
  <si>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</si>
  <si>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</si>
  <si>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</si>
  <si>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</si>
  <si>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</si>
  <si>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</si>
  <si>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</si>
  <si>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</si>
  <si>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</si>
  <si>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</si>
  <si>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</si>
  <si>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</si>
  <si>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</si>
  <si>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</si>
  <si>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</si>
  <si>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</si>
  <si>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</si>
  <si>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</si>
  <si>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</si>
  <si>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</si>
  <si>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</si>
  <si>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</si>
  <si>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</si>
  <si>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</si>
  <si>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</si>
  <si>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</si>
  <si>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</si>
  <si>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</si>
  <si>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</si>
  <si>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</si>
  <si>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</si>
  <si>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</si>
  <si>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</si>
  <si>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</si>
  <si>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</si>
  <si>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</si>
  <si>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</si>
  <si>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</si>
  <si>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</si>
  <si>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</si>
  <si>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</si>
  <si>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</si>
  <si>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</si>
  <si>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</si>
  <si>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</si>
  <si>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</si>
  <si>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</si>
  <si>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</si>
  <si>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</si>
  <si>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</si>
  <si>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</si>
  <si>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</si>
  <si>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</si>
  <si>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</si>
  <si>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</si>
  <si>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</si>
  <si>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</si>
  <si>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</si>
  <si>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</si>
  <si>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</si>
  <si>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</si>
  <si>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</si>
  <si>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</si>
  <si>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</si>
  <si>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</si>
  <si>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</si>
  <si>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</si>
  <si>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</si>
  <si>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</si>
  <si>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</si>
  <si>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</si>
  <si>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</si>
  <si>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</si>
  <si>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</si>
  <si>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</si>
  <si>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</si>
  <si>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</si>
  <si>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</si>
  <si>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</si>
  <si>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</si>
  <si>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</si>
  <si>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</si>
  <si>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</si>
  <si>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</si>
  <si>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</si>
  <si>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</si>
  <si>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</si>
  <si>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</si>
  <si>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</si>
  <si>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</si>
  <si>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</si>
  <si>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</si>
  <si>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</si>
  <si>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</si>
  <si>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</si>
  <si>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</si>
  <si>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</si>
  <si>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</si>
  <si>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</si>
  <si>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</si>
  <si>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</si>
  <si>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</si>
  <si>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</si>
  <si>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</si>
  <si>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</si>
  <si>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</si>
  <si>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</si>
  <si>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</si>
  <si>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</si>
  <si>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</si>
  <si>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</si>
  <si>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</si>
  <si>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</si>
  <si>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</si>
  <si>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</si>
  <si>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</si>
  <si>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</si>
  <si>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</si>
  <si>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</si>
  <si>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</si>
  <si>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</si>
  <si>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</si>
  <si>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</si>
  <si>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</si>
  <si>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</si>
  <si>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</si>
  <si>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</si>
  <si>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</si>
  <si>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</si>
  <si>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</si>
  <si>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</si>
  <si>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</si>
  <si>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</si>
  <si>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</si>
  <si>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</si>
  <si>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</si>
  <si>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</si>
  <si>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</si>
  <si>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</si>
  <si>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</si>
  <si>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</si>
  <si>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</si>
  <si>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</si>
  <si>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</si>
  <si>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</si>
  <si>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</si>
  <si>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</si>
  <si>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</si>
  <si>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</si>
  <si>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</si>
  <si>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</si>
  <si>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</si>
  <si>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</si>
  <si>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</si>
  <si>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</si>
  <si>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</si>
  <si>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</si>
  <si>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</si>
  <si>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</si>
  <si>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</si>
  <si>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</si>
  <si>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</si>
  <si>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</si>
  <si>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</si>
  <si>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</si>
  <si>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</si>
  <si>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</si>
  <si>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</si>
  <si>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</si>
  <si>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</si>
  <si>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</si>
  <si>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</si>
  <si>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</si>
  <si>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</si>
  <si>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</si>
  <si>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</si>
  <si>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</si>
  <si>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</si>
  <si>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</si>
  <si>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</si>
  <si>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</si>
  <si>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</si>
  <si>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</si>
  <si>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</si>
  <si>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</si>
  <si>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</si>
  <si>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</si>
  <si>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</si>
  <si>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</si>
  <si>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</si>
  <si>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</si>
  <si>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</si>
  <si>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</si>
  <si>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</si>
  <si>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</si>
  <si>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</si>
  <si>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</si>
  <si>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</si>
  <si>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</si>
  <si>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</si>
  <si>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</si>
  <si>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</si>
  <si>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</si>
  <si>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</si>
  <si>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</si>
  <si>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</si>
  <si>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</si>
  <si>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</si>
  <si>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</si>
  <si>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</si>
  <si>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</si>
  <si>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</si>
  <si>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</si>
  <si>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</si>
  <si>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</si>
  <si>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</si>
  <si>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</si>
  <si>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</si>
  <si>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</si>
  <si>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</si>
  <si>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</si>
  <si>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</si>
  <si>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</si>
  <si>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</si>
  <si>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</si>
  <si>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</si>
  <si>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</si>
  <si>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</si>
  <si>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</si>
  <si>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</si>
  <si>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</si>
  <si>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</si>
  <si>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</si>
  <si>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</si>
  <si>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</si>
  <si>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</si>
  <si>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</si>
  <si>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</si>
  <si>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</si>
  <si>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</si>
  <si>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</si>
  <si>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</si>
  <si>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</si>
  <si>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</si>
  <si>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</si>
  <si>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</si>
  <si>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</si>
  <si>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</si>
  <si>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</si>
  <si>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</si>
  <si>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</si>
  <si>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</si>
  <si>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</si>
  <si>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</si>
  <si>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</si>
  <si>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</si>
  <si>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</si>
  <si>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</si>
  <si>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</si>
  <si>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</si>
  <si>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</si>
  <si>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</si>
  <si>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</si>
  <si>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</si>
  <si>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</si>
  <si>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</si>
  <si>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</si>
  <si>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</si>
  <si>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</si>
  <si>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</si>
  <si>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</si>
  <si>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</si>
  <si>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</si>
  <si>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</si>
  <si>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</si>
  <si>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</si>
  <si>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</si>
  <si>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</si>
  <si>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</si>
  <si>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</si>
  <si>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</si>
  <si>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</si>
  <si>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</si>
  <si>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</si>
  <si>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</si>
  <si>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</si>
  <si>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</si>
  <si>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</si>
  <si>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</si>
  <si>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</si>
  <si>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</si>
  <si>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</si>
  <si>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</si>
  <si>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</si>
  <si>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</si>
  <si>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</si>
  <si>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</si>
  <si>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</si>
  <si>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</si>
  <si>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</si>
  <si>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</si>
  <si>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</si>
  <si>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</si>
  <si>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</si>
  <si>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</si>
  <si>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</si>
  <si>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</si>
  <si>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</si>
  <si>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</si>
  <si>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</si>
  <si>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</si>
  <si>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</si>
  <si>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</si>
  <si>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</si>
  <si>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</si>
  <si>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</si>
  <si>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</si>
  <si>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</si>
  <si>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</si>
  <si>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</si>
  <si>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</si>
  <si>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</si>
  <si>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</si>
  <si>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</si>
  <si>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</si>
  <si>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</si>
  <si>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</si>
  <si>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</si>
  <si>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</si>
  <si>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</si>
  <si>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</si>
  <si>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</si>
  <si>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</si>
  <si>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</si>
  <si>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</si>
  <si>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</si>
  <si>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</si>
  <si>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</si>
  <si>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</si>
  <si>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</si>
  <si>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</si>
  <si>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</si>
  <si>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</si>
  <si>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</si>
  <si>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</si>
  <si>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</si>
  <si>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</si>
  <si>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</si>
  <si>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</si>
  <si>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</si>
  <si>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</si>
  <si>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</si>
  <si>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</si>
  <si>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</si>
  <si>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</si>
  <si>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</si>
  <si>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</si>
  <si>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</si>
  <si>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</si>
  <si>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</si>
  <si>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</si>
  <si>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</si>
  <si>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</si>
  <si>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</si>
  <si>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</si>
  <si>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</si>
  <si>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</si>
  <si>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</si>
  <si>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</si>
  <si>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</si>
  <si>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</si>
  <si>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</si>
  <si>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</si>
  <si>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</si>
  <si>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</si>
  <si>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</si>
  <si>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</si>
  <si>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</si>
  <si>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</si>
  <si>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</si>
  <si>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</si>
  <si>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</si>
  <si>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</si>
  <si>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</si>
  <si>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</si>
  <si>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</si>
  <si>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</si>
  <si>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</si>
  <si>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</si>
  <si>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</si>
  <si>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</si>
  <si>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</si>
  <si>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</si>
  <si>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</si>
  <si>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</si>
  <si>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</si>
  <si>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</si>
  <si>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</si>
  <si>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</si>
  <si>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</si>
  <si>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</si>
  <si>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</si>
  <si>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</si>
  <si>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</si>
  <si>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</si>
  <si>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</si>
  <si>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</si>
  <si>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</si>
  <si>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</si>
  <si>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</si>
  <si>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</si>
  <si>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</si>
  <si>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</si>
  <si>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</si>
  <si>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</si>
  <si>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</si>
  <si>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</si>
  <si>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</si>
  <si>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</si>
  <si>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</si>
  <si>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</si>
  <si>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</si>
  <si>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</si>
  <si>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</si>
  <si>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</si>
  <si>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</si>
  <si>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</si>
  <si>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</si>
  <si>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</si>
  <si>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</si>
  <si>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</si>
  <si>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</si>
  <si>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</si>
  <si>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</si>
  <si>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</si>
  <si>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</si>
  <si>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</si>
  <si>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</si>
  <si>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</si>
  <si>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</si>
  <si>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</si>
  <si>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</si>
  <si>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</si>
  <si>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</si>
  <si>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</si>
  <si>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</si>
  <si>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</si>
  <si>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</si>
  <si>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</si>
  <si>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</si>
  <si>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</si>
  <si>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</si>
  <si>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</si>
  <si>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</si>
  <si>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</si>
  <si>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</si>
  <si>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</si>
  <si>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</si>
  <si>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</si>
  <si>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</si>
  <si>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</si>
  <si>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</si>
  <si>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</si>
  <si>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</si>
  <si>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</si>
  <si>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</si>
  <si>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</si>
  <si>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</si>
  <si>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</si>
  <si>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</si>
  <si>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</si>
  <si>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</si>
  <si>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</si>
  <si>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</si>
  <si>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</si>
  <si>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</si>
  <si>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</si>
  <si>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</si>
  <si>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</si>
  <si>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</si>
  <si>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</si>
  <si>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</si>
  <si>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</si>
  <si>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</si>
  <si>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</si>
  <si>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</si>
  <si>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</si>
  <si>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</si>
  <si>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</si>
  <si>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</si>
  <si>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</si>
  <si>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</si>
  <si>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</si>
  <si>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</si>
  <si>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</si>
  <si>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</si>
  <si>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</si>
  <si>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</si>
  <si>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</si>
  <si>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</si>
  <si>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</si>
  <si>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</si>
  <si>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</si>
  <si>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</si>
  <si>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</si>
  <si>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</si>
  <si>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</si>
  <si>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</si>
  <si>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</si>
  <si>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</si>
  <si>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</si>
  <si>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</si>
  <si>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</si>
  <si>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</si>
  <si>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</si>
  <si>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</si>
  <si>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</si>
  <si>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</si>
  <si>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</si>
  <si>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</si>
  <si>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</si>
  <si>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</si>
  <si>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</si>
  <si>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</si>
  <si>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</si>
  <si>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</si>
  <si>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</si>
  <si>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</si>
  <si>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</si>
  <si>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</si>
  <si>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</si>
  <si>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</si>
  <si>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</si>
  <si>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</si>
  <si>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</si>
  <si>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</si>
  <si>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</si>
  <si>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</si>
  <si>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</si>
  <si>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</si>
  <si>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</si>
  <si>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</si>
  <si>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</si>
  <si>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</si>
  <si>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</si>
  <si>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</si>
  <si>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</si>
  <si>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</si>
  <si>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</si>
  <si>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</si>
  <si>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</si>
  <si>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</si>
  <si>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</si>
  <si>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</si>
  <si>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</si>
  <si>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</si>
  <si>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</si>
  <si>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</si>
  <si>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</si>
  <si>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</si>
  <si>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</si>
  <si>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</si>
  <si>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</si>
  <si>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</si>
  <si>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</si>
  <si>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</si>
  <si>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</si>
  <si>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</si>
  <si>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</si>
  <si>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</si>
  <si>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</si>
  <si>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</si>
  <si>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</si>
  <si>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</si>
  <si>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</si>
  <si>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</si>
  <si>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</si>
  <si>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</si>
  <si>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</si>
  <si>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</si>
  <si>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</si>
  <si>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</si>
  <si>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</si>
  <si>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</si>
  <si>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</si>
  <si>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</si>
  <si>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</si>
  <si>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</si>
  <si>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</si>
  <si>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</si>
  <si>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</si>
  <si>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</si>
  <si>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</si>
  <si>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</si>
  <si>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</si>
  <si>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</si>
  <si>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</si>
  <si>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</si>
  <si>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</si>
  <si>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</si>
  <si>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</si>
  <si>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</si>
  <si>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</si>
  <si>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</si>
  <si>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</si>
  <si>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</si>
  <si>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</si>
  <si>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</si>
  <si>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</si>
  <si>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</si>
  <si>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</si>
  <si>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</si>
  <si>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</si>
  <si>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</si>
  <si>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</si>
  <si>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</si>
  <si>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</si>
  <si>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</si>
  <si>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</si>
  <si>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</si>
  <si>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</si>
  <si>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</si>
  <si>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</si>
  <si>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</si>
  <si>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</si>
  <si>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</si>
  <si>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</si>
  <si>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</si>
  <si>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</si>
  <si>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</si>
  <si>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</si>
  <si>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</si>
  <si>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</si>
  <si>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</si>
  <si>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</si>
  <si>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</si>
  <si>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</si>
  <si>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</si>
  <si>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</si>
  <si>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</si>
  <si>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</si>
  <si>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</si>
  <si>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</si>
  <si>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</si>
  <si>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</si>
  <si>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</si>
  <si>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</si>
  <si>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</si>
  <si>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</si>
  <si>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</si>
  <si>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</si>
  <si>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</si>
  <si>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</si>
  <si>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</si>
  <si>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</si>
  <si>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</si>
  <si>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</si>
  <si>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</si>
  <si>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</si>
  <si>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</si>
  <si>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</si>
  <si>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</si>
  <si>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</si>
  <si>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</si>
  <si>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</si>
  <si>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</si>
  <si>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</si>
  <si>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</si>
  <si>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</si>
  <si>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</si>
  <si>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</si>
  <si>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</si>
  <si>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</si>
  <si>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</si>
  <si>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</si>
  <si>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</si>
  <si>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</si>
  <si>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</si>
  <si>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</si>
  <si>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</si>
  <si>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</si>
  <si>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</si>
  <si>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</si>
  <si>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</si>
  <si>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</si>
  <si>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</si>
  <si>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</si>
  <si>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</si>
  <si>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</si>
  <si>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</si>
  <si>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</si>
  <si>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</si>
  <si>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</si>
  <si>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</si>
  <si>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</si>
  <si>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</si>
  <si>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</si>
  <si>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</si>
  <si>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</si>
  <si>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</si>
  <si>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</si>
  <si>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</si>
  <si>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</si>
  <si>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</si>
  <si>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</si>
  <si>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</si>
  <si>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</si>
  <si>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</si>
  <si>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</si>
  <si>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</si>
  <si>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</si>
  <si>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</si>
  <si>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</si>
  <si>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</si>
  <si>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</si>
  <si>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</si>
  <si>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</si>
  <si>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</si>
  <si>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</si>
  <si>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</si>
  <si>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</si>
  <si>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</si>
  <si>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</si>
  <si>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</si>
  <si>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</si>
  <si>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</si>
  <si>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</si>
  <si>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</si>
  <si>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</si>
  <si>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</si>
  <si>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</si>
  <si>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</si>
  <si>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</si>
  <si>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</si>
  <si>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</si>
  <si>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</si>
  <si>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</si>
  <si>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</si>
  <si>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</si>
  <si>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</si>
  <si>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</si>
  <si>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</si>
  <si>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</si>
  <si>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</si>
  <si>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</si>
  <si>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</si>
  <si>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</si>
  <si>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</si>
  <si>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</si>
  <si>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</si>
  <si>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</si>
  <si>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</si>
  <si>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</si>
  <si>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</si>
  <si>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</si>
  <si>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</si>
  <si>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</si>
  <si>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</si>
  <si>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</si>
  <si>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</si>
  <si>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</si>
  <si>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</si>
  <si>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</si>
  <si>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</si>
  <si>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</si>
  <si>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</si>
  <si>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</si>
  <si>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</si>
  <si>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</si>
  <si>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</si>
  <si>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</si>
  <si>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</si>
  <si>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</si>
  <si>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</si>
  <si>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</si>
  <si>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</si>
  <si>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</si>
  <si>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</si>
  <si>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</si>
  <si>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</si>
  <si>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</si>
  <si>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</si>
  <si>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</si>
  <si>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</si>
  <si>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</si>
  <si>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</si>
  <si>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</si>
  <si>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</si>
  <si>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</si>
  <si>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</si>
  <si>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</si>
  <si>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</si>
  <si>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</si>
  <si>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</si>
  <si>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</si>
  <si>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</si>
  <si>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</si>
  <si>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</si>
  <si>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</si>
  <si>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</si>
  <si>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</si>
  <si>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</si>
  <si>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</si>
  <si>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</si>
  <si>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</si>
  <si>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</si>
  <si>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</si>
  <si>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</si>
  <si>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</si>
  <si>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</si>
  <si>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</si>
  <si>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</si>
  <si>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</si>
  <si>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</si>
  <si>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</si>
  <si>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</si>
  <si>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</si>
  <si>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</si>
  <si>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</si>
  <si>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</si>
  <si>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</si>
  <si>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</si>
  <si>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</si>
  <si>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</si>
  <si>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</si>
  <si>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</si>
  <si>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</si>
  <si>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</si>
  <si>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</si>
  <si>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</si>
  <si>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</si>
  <si>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</si>
  <si>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</si>
  <si>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</si>
  <si>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</si>
  <si>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</si>
  <si>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</si>
  <si>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</si>
  <si>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</si>
  <si>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</si>
  <si>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</si>
  <si>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</si>
  <si>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</si>
  <si>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</si>
  <si>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</si>
  <si>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</si>
  <si>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</si>
  <si>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</si>
  <si>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</si>
  <si>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</si>
  <si>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</si>
  <si>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</si>
  <si>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</si>
  <si>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</si>
  <si>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</si>
  <si>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</si>
  <si>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</si>
  <si>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</si>
  <si>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</si>
  <si>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</si>
  <si>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</si>
  <si>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</si>
  <si>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</si>
  <si>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</si>
  <si>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</si>
  <si>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</si>
  <si>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</si>
  <si>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</si>
  <si>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</si>
  <si>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</si>
  <si>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</si>
  <si>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</si>
  <si>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</si>
  <si>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</si>
  <si>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</si>
  <si>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</si>
  <si>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</si>
  <si>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</si>
  <si>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</si>
  <si>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</si>
  <si>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</si>
  <si>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</si>
  <si>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</si>
  <si>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</si>
  <si>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</si>
  <si>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</si>
  <si>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</si>
  <si>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</si>
  <si>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</si>
  <si>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</si>
  <si>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</si>
  <si>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</si>
  <si>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</si>
  <si>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</si>
  <si>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</si>
  <si>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</si>
  <si>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</si>
  <si>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</si>
  <si>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</si>
  <si>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</si>
  <si>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</si>
  <si>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</si>
  <si>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</si>
  <si>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</si>
  <si>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</si>
  <si>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</si>
  <si>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</si>
  <si>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</si>
  <si>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</si>
  <si>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</si>
  <si>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</si>
  <si>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</si>
  <si>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</si>
  <si>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</si>
  <si>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</si>
  <si>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</si>
  <si>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</si>
  <si>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</si>
  <si>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</si>
  <si>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</si>
  <si>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</si>
  <si>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</si>
  <si>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</si>
  <si>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</si>
  <si>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</si>
  <si>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</si>
  <si>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</si>
  <si>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</si>
  <si>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</si>
  <si>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</si>
  <si>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</si>
  <si>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</si>
  <si>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</si>
  <si>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</si>
  <si>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</si>
  <si>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</si>
  <si>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</si>
  <si>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</si>
  <si>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</si>
  <si>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</si>
  <si>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</si>
  <si>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</si>
  <si>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</si>
  <si>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</si>
  <si>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</si>
  <si>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</si>
  <si>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</si>
  <si>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</si>
  <si>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</si>
  <si>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</si>
  <si>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</si>
  <si>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</si>
  <si>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</si>
  <si>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</si>
  <si>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</si>
  <si>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</si>
  <si>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</si>
  <si>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</si>
  <si>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</si>
  <si>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</si>
  <si>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</si>
  <si>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</si>
  <si>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</si>
  <si>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</si>
  <si>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</si>
  <si>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</si>
  <si>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</si>
  <si>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</si>
  <si>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</si>
  <si>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</si>
  <si>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</si>
  <si>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</si>
  <si>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</si>
  <si>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</si>
  <si>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</si>
  <si>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</si>
  <si>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</si>
  <si>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</si>
  <si>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</si>
  <si>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</si>
  <si>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</si>
  <si>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</si>
  <si>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</si>
  <si>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</si>
  <si>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</si>
  <si>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</si>
  <si>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</si>
  <si>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</si>
  <si>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</si>
  <si>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</si>
  <si>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</si>
  <si>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</si>
  <si>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</si>
  <si>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</si>
  <si>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</si>
  <si>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</si>
  <si>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</si>
  <si>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</si>
  <si>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</si>
  <si>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</si>
  <si>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</si>
  <si>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</si>
  <si>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</si>
  <si>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</si>
  <si>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</si>
  <si>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</si>
  <si>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</si>
  <si>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</si>
  <si>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</si>
  <si>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</si>
  <si>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</si>
  <si>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</si>
  <si>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</si>
  <si>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</si>
  <si>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</si>
  <si>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</si>
  <si>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</si>
  <si>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</si>
  <si>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</si>
  <si>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</si>
  <si>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</si>
  <si>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</si>
  <si>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</si>
  <si>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</si>
  <si>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</si>
  <si>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</si>
  <si>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</si>
  <si>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</si>
  <si>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</si>
  <si>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</si>
  <si>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</si>
  <si>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</si>
  <si>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</si>
  <si>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</si>
  <si>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</si>
  <si>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</si>
  <si>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</si>
  <si>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</si>
  <si>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</si>
  <si>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</si>
  <si>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</si>
  <si>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</si>
  <si>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</si>
  <si>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</si>
  <si>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</si>
  <si>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</si>
  <si>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</si>
  <si>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</si>
  <si>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</si>
  <si>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</si>
  <si>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</si>
  <si>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</si>
  <si>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</si>
  <si>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</si>
  <si>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</si>
  <si>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</si>
  <si>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</si>
  <si>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</si>
  <si>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</si>
  <si>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</si>
  <si>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</si>
  <si>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</si>
  <si>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</si>
  <si>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</si>
  <si>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</si>
  <si>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</si>
  <si>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</si>
  <si>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</si>
  <si>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</si>
  <si>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</si>
  <si>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</si>
  <si>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</si>
  <si>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</si>
  <si>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</si>
  <si>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</si>
  <si>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</si>
  <si>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</si>
  <si>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</si>
  <si>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</si>
  <si>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</si>
  <si>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</si>
  <si>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</si>
  <si>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</si>
  <si>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</si>
  <si>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</si>
  <si>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</si>
  <si>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</si>
  <si>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</si>
  <si>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</si>
  <si>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</si>
  <si>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</si>
  <si>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</si>
  <si>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</si>
  <si>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</si>
  <si>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</si>
  <si>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</si>
  <si>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</si>
  <si>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</si>
  <si>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</si>
  <si>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</si>
  <si>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</si>
  <si>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</si>
  <si>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</si>
  <si>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</si>
  <si>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</si>
  <si>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</si>
  <si>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</si>
  <si>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</si>
  <si>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</si>
  <si>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</si>
  <si>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</si>
  <si>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</si>
  <si>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</si>
  <si>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</si>
  <si>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</si>
  <si>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</si>
  <si>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</si>
  <si>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</si>
  <si>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</si>
  <si>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</si>
  <si>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</si>
  <si>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</si>
  <si>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</si>
  <si>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</si>
  <si>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</si>
  <si>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</si>
  <si>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</si>
  <si>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</si>
  <si>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</si>
  <si>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</si>
  <si>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</si>
  <si>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</si>
  <si>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</si>
  <si>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</si>
  <si>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</si>
  <si>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</si>
  <si>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</si>
  <si>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</si>
  <si>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</si>
  <si>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</si>
  <si>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</si>
  <si>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</si>
  <si>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</si>
  <si>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</si>
  <si>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</si>
  <si>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</si>
  <si>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</si>
  <si>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</si>
  <si>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</si>
  <si>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</si>
  <si>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</si>
  <si>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</si>
  <si>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</si>
  <si>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</si>
  <si>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</si>
  <si>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</si>
  <si>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</si>
  <si>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</si>
  <si>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</si>
  <si>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</si>
  <si>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</si>
  <si>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</si>
  <si>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</si>
  <si>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</si>
  <si>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</si>
  <si>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</si>
  <si>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</si>
  <si>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</si>
  <si>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</si>
  <si>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</si>
  <si>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</si>
  <si>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</si>
  <si>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</si>
  <si>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</si>
  <si>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</si>
  <si>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</si>
  <si>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</si>
  <si>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</si>
  <si>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</si>
  <si>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</si>
  <si>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</si>
  <si>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</si>
  <si>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</si>
  <si>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</si>
  <si>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</si>
  <si>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</si>
  <si>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</si>
  <si>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</si>
  <si>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</si>
  <si>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</si>
  <si>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</si>
  <si>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</si>
  <si>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</si>
  <si>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</si>
  <si>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</si>
  <si>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</si>
  <si>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</si>
  <si>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</si>
  <si>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</si>
  <si>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</si>
  <si>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</si>
  <si>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</si>
  <si>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</si>
  <si>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</si>
  <si>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</si>
  <si>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</si>
  <si>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</si>
  <si>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</si>
  <si>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</si>
  <si>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</si>
  <si>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</si>
  <si>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</si>
  <si>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</si>
  <si>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</si>
  <si>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</si>
  <si>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</si>
  <si>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</si>
  <si>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</si>
  <si>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</si>
  <si>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</si>
  <si>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</si>
  <si>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</si>
  <si>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</si>
  <si>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</si>
  <si>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</si>
  <si>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</si>
  <si>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</si>
  <si>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</si>
  <si>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</si>
  <si>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</si>
  <si>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</si>
  <si>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</si>
  <si>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</si>
  <si>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</si>
  <si>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</si>
  <si>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</si>
  <si>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</si>
  <si>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</si>
  <si>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</si>
  <si>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</si>
  <si>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</si>
  <si>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</si>
  <si>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</si>
  <si>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</si>
  <si>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</si>
  <si>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</si>
  <si>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</si>
  <si>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</si>
  <si>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</si>
  <si>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</si>
  <si>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</si>
  <si>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</si>
  <si>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</si>
  <si>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</si>
  <si>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</si>
  <si>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</si>
  <si>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</si>
  <si>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</si>
  <si>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</si>
  <si>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</si>
  <si>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</si>
  <si>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</si>
  <si>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</si>
  <si>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</si>
  <si>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</si>
  <si>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</si>
  <si>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</si>
  <si>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</si>
  <si>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</si>
  <si>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</si>
  <si>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</si>
  <si>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</si>
  <si>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</si>
  <si>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</si>
  <si>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</si>
  <si>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</si>
  <si>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</si>
  <si>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</si>
  <si>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</si>
  <si>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</si>
  <si>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</si>
  <si>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</si>
  <si>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</si>
  <si>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</si>
  <si>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</si>
  <si>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</si>
  <si>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</si>
  <si>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</si>
  <si>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</si>
  <si>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</si>
  <si>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</si>
  <si>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</si>
  <si>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</si>
  <si>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</si>
  <si>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</si>
  <si>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</si>
  <si>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</si>
  <si>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</si>
  <si>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</si>
  <si>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</si>
  <si>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</si>
  <si>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</si>
  <si>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</si>
  <si>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</si>
  <si>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</si>
  <si>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</si>
  <si>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</si>
  <si>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</si>
  <si>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</si>
  <si>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</si>
  <si>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</si>
  <si>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</si>
  <si>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</si>
  <si>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</si>
  <si>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</si>
  <si>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</si>
  <si>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</si>
  <si>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</si>
  <si>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</si>
  <si>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</si>
  <si>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</si>
  <si>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</si>
  <si>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</si>
  <si>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</si>
  <si>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</si>
  <si>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</si>
  <si>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</si>
  <si>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</si>
  <si>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</si>
  <si>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</si>
  <si>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</si>
  <si>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</si>
  <si>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</si>
  <si>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</si>
  <si>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</si>
  <si>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</si>
  <si>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</si>
  <si>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</si>
  <si>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</si>
  <si>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</si>
  <si>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</si>
  <si>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</si>
  <si>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</si>
  <si>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</si>
  <si>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</si>
  <si>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</si>
  <si>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</si>
  <si>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</si>
  <si>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</si>
  <si>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</si>
  <si>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</si>
  <si>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</si>
  <si>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</si>
  <si>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</si>
  <si>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</si>
  <si>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</si>
  <si>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</si>
  <si>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</si>
  <si>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</si>
  <si>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</si>
  <si>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</si>
  <si>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</si>
  <si>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</si>
  <si>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</si>
  <si>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</si>
  <si>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</si>
  <si>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</si>
  <si>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</si>
  <si>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</si>
  <si>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</si>
  <si>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</si>
  <si>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</si>
  <si>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</si>
  <si>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</si>
  <si>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</si>
  <si>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</si>
  <si>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</si>
  <si>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</si>
  <si>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</si>
  <si>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</si>
  <si>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</si>
  <si>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</si>
  <si>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</si>
  <si>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</si>
  <si>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</si>
  <si>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</si>
  <si>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</si>
  <si>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</si>
  <si>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</si>
  <si>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</si>
  <si>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</si>
  <si>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</si>
  <si>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</si>
  <si>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</si>
  <si>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</si>
  <si>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</si>
  <si>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</si>
  <si>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</si>
  <si>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</si>
  <si>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</si>
  <si>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</si>
  <si>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</si>
  <si>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</si>
  <si>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</si>
  <si>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</si>
  <si>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</si>
  <si>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</si>
  <si>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</si>
  <si>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</si>
  <si>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</si>
  <si>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</si>
  <si>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</si>
  <si>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</si>
  <si>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</si>
  <si>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</si>
  <si>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</si>
  <si>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</si>
  <si>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</si>
  <si>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</si>
  <si>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</si>
  <si>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</si>
  <si>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</si>
  <si>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</si>
  <si>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</si>
  <si>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</si>
  <si>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</si>
  <si>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</si>
  <si>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</si>
  <si>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</si>
  <si>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</si>
  <si>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</si>
  <si>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</si>
  <si>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</si>
  <si>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</si>
  <si>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</si>
  <si>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</si>
  <si>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</si>
  <si>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</si>
  <si>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</si>
  <si>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</si>
  <si>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</si>
  <si>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</si>
  <si>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</si>
  <si>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</si>
  <si>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</si>
  <si>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</si>
  <si>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</si>
  <si>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</si>
  <si>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</si>
  <si>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</si>
  <si>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</si>
  <si>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</si>
  <si>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</si>
  <si>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</si>
  <si>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</si>
  <si>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</si>
  <si>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</si>
  <si>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</si>
  <si>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</si>
  <si>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</si>
  <si>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</si>
  <si>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</si>
  <si>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</si>
  <si>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</si>
  <si>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</si>
  <si>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</si>
  <si>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</si>
  <si>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</si>
  <si>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</si>
  <si>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</si>
  <si>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</si>
  <si>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</si>
  <si>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</si>
  <si>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</si>
  <si>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</si>
  <si>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</si>
  <si>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</si>
  <si>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</si>
  <si>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</si>
  <si>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</si>
  <si>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</si>
  <si>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</si>
  <si>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</si>
  <si>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</si>
  <si>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</si>
  <si>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</si>
  <si>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</si>
  <si>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</si>
  <si>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</si>
  <si>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</si>
  <si>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</si>
  <si>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</si>
  <si>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</si>
  <si>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</si>
  <si>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</si>
  <si>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</si>
  <si>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</si>
  <si>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</si>
  <si>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</si>
  <si>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</si>
  <si>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</si>
  <si>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</si>
  <si>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</si>
  <si>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</si>
  <si>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</si>
  <si>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</si>
  <si>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</si>
  <si>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</si>
  <si>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</si>
  <si>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</si>
  <si>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</si>
  <si>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</si>
  <si>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</si>
  <si>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</si>
  <si>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</si>
  <si>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</si>
  <si>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</si>
  <si>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</si>
  <si>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</si>
  <si>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</si>
  <si>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</si>
  <si>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</si>
  <si>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</si>
  <si>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</si>
  <si>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</si>
  <si>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</si>
  <si>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</si>
  <si>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</si>
  <si>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</si>
  <si>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</si>
  <si>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</si>
  <si>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</si>
  <si>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</si>
  <si>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</si>
  <si>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</si>
  <si>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</si>
  <si>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</si>
  <si>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</si>
  <si>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</si>
  <si>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</si>
  <si>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</si>
  <si>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</si>
  <si>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</si>
  <si>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</si>
  <si>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</si>
  <si>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</si>
  <si>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</si>
  <si>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</si>
  <si>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</si>
  <si>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</si>
  <si>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</si>
  <si>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</si>
  <si>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</si>
  <si>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</si>
  <si>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</si>
  <si>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</si>
  <si>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</si>
  <si>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</si>
  <si>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</si>
  <si>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</si>
  <si>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</si>
  <si>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</si>
  <si>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</si>
  <si>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</si>
  <si>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</si>
  <si>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</si>
  <si>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</si>
  <si>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</si>
  <si>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</si>
  <si>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</si>
  <si>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</si>
  <si>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</si>
  <si>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</si>
  <si>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</si>
  <si>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</si>
  <si>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</si>
  <si>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</si>
  <si>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</si>
  <si>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</si>
  <si>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</si>
  <si>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</si>
  <si>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</si>
  <si>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</si>
  <si>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</si>
  <si>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</si>
  <si>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</si>
  <si>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</si>
  <si>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</si>
  <si>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</si>
  <si>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</si>
  <si>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</si>
  <si>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</si>
  <si>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</si>
  <si>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</si>
  <si>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</si>
  <si>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</si>
  <si>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</si>
  <si>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</si>
  <si>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</si>
  <si>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</si>
  <si>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</si>
  <si>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</si>
  <si>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</si>
  <si>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</si>
  <si>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</si>
  <si>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</si>
  <si>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</si>
  <si>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</si>
  <si>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</si>
  <si>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</si>
  <si>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</si>
  <si>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</si>
  <si>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</si>
  <si>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</si>
  <si>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</si>
  <si>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</si>
  <si>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</si>
  <si>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</si>
  <si>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</si>
  <si>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</si>
  <si>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</si>
  <si>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</si>
  <si>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</si>
  <si>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</si>
  <si>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</si>
  <si>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</si>
  <si>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</si>
  <si>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</si>
  <si>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</si>
  <si>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</si>
  <si>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</si>
  <si>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</si>
  <si>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</si>
  <si>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</si>
  <si>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</si>
  <si>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</si>
  <si>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</si>
  <si>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</si>
  <si>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</si>
  <si>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</si>
  <si>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</si>
  <si>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</si>
  <si>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</si>
  <si>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</si>
  <si>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</si>
  <si>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</si>
  <si>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</si>
  <si>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</si>
  <si>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</si>
  <si>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</si>
  <si>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</si>
  <si>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</si>
  <si>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</si>
  <si>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</si>
  <si>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</si>
  <si>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</si>
  <si>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</si>
  <si>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</si>
  <si>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</si>
  <si>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</si>
  <si>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</si>
  <si>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</si>
  <si>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</si>
  <si>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</si>
  <si>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</si>
  <si>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</si>
  <si>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</si>
  <si>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</si>
  <si>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</si>
  <si>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</si>
  <si>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</si>
  <si>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</si>
  <si>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</si>
  <si>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</si>
  <si>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</si>
  <si>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</si>
  <si>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</si>
  <si>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</si>
  <si>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</si>
  <si>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</si>
  <si>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</si>
  <si>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</si>
  <si>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</si>
  <si>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</si>
  <si>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</si>
  <si>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</si>
  <si>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</si>
  <si>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</si>
  <si>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</si>
  <si>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</si>
  <si>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</si>
  <si>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</si>
  <si>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</si>
  <si>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</si>
  <si>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</si>
  <si>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</si>
  <si>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</si>
  <si>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</si>
  <si>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</si>
  <si>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</si>
  <si>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</si>
  <si>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</si>
  <si>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</si>
  <si>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</si>
  <si>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</si>
  <si>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</si>
  <si>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</si>
  <si>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</si>
  <si>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</si>
  <si>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</si>
  <si>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</si>
  <si>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</si>
  <si>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</si>
  <si>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</si>
  <si>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</si>
  <si>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</si>
  <si>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</si>
  <si>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</si>
  <si>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</si>
  <si>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</si>
  <si>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</si>
  <si>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</si>
  <si>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</si>
  <si>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</si>
  <si>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</si>
  <si>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</si>
  <si>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</si>
  <si>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</si>
  <si>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</si>
  <si>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</si>
  <si>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</si>
  <si>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</si>
  <si>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</si>
  <si>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</si>
  <si>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</si>
  <si>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</si>
  <si>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</si>
  <si>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</si>
  <si>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</si>
  <si>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</si>
  <si>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</si>
  <si>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</si>
  <si>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</si>
  <si>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</si>
  <si>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</si>
  <si>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</si>
  <si>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</si>
  <si>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</si>
  <si>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</si>
  <si>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</si>
  <si>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</si>
  <si>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</si>
  <si>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</si>
  <si>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</si>
  <si>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</si>
  <si>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</si>
  <si>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</si>
  <si>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</si>
  <si>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</si>
  <si>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</si>
  <si>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</si>
  <si>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</si>
  <si>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</si>
  <si>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</si>
  <si>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</si>
  <si>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</si>
  <si>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</si>
  <si>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</si>
  <si>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</si>
  <si>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</si>
  <si>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</si>
  <si>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</si>
  <si>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</si>
  <si>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</si>
  <si>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</si>
  <si>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</si>
  <si>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</si>
  <si>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</si>
  <si>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</si>
  <si>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</si>
  <si>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</si>
  <si>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</si>
  <si>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</si>
  <si>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</si>
  <si>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</si>
  <si>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</si>
  <si>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</si>
  <si>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</si>
  <si>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</si>
  <si>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</si>
  <si>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</si>
  <si>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</si>
  <si>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</si>
  <si>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</si>
  <si>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</si>
  <si>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</si>
  <si>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</si>
  <si>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</si>
  <si>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</si>
  <si>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</si>
  <si>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</si>
  <si>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</si>
  <si>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</si>
  <si>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</si>
  <si>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</si>
  <si>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</si>
  <si>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</si>
  <si>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</si>
  <si>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</si>
  <si>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</si>
  <si>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</si>
  <si>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</si>
  <si>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</si>
  <si>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</si>
  <si>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</si>
  <si>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</si>
  <si>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</si>
  <si>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</si>
  <si>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</si>
  <si>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</si>
  <si>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</si>
  <si>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</si>
  <si>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</si>
  <si>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</si>
  <si>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</si>
  <si>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</si>
  <si>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</si>
  <si>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</si>
  <si>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</si>
  <si>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</si>
  <si>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</si>
  <si>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</si>
  <si>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</si>
  <si>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</si>
  <si>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</si>
  <si>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</si>
  <si>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</si>
  <si>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</si>
  <si>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</si>
  <si>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</si>
  <si>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</si>
  <si>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</si>
  <si>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</si>
  <si>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</si>
  <si>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</si>
  <si>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</si>
  <si>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</si>
  <si>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</si>
  <si>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</si>
  <si>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</si>
  <si>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</si>
  <si>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</si>
  <si>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</si>
  <si>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</si>
  <si>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</si>
  <si>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</si>
  <si>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</si>
  <si>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</si>
  <si>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</si>
  <si>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</si>
  <si>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</si>
  <si>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</si>
  <si>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</si>
  <si>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</si>
  <si>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</si>
  <si>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</si>
  <si>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</si>
  <si>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</si>
  <si>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</si>
  <si>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</si>
  <si>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</si>
  <si>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</si>
  <si>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</si>
  <si>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</si>
  <si>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</si>
  <si>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</si>
  <si>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</si>
  <si>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</si>
  <si>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</si>
  <si>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</si>
  <si>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</si>
  <si>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</si>
  <si>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</si>
  <si>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</si>
  <si>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</si>
  <si>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</si>
  <si>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</si>
  <si>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</si>
  <si>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</si>
  <si>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</si>
  <si>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</si>
  <si>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</si>
  <si>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</si>
  <si>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</si>
  <si>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</si>
  <si>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</si>
  <si>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</si>
  <si>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</si>
  <si>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</si>
  <si>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</si>
  <si>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</si>
  <si>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</si>
  <si>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</si>
  <si>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</si>
  <si>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</si>
  <si>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</si>
  <si>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</si>
  <si>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</si>
  <si>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</si>
  <si>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</si>
  <si>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</si>
  <si>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</si>
  <si>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</si>
  <si>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</si>
  <si>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</si>
  <si>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</si>
  <si>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</si>
  <si>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</si>
  <si>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</si>
  <si>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</si>
  <si>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</si>
  <si>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</si>
  <si>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</si>
  <si>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</si>
  <si>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</si>
  <si>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</si>
  <si>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</si>
  <si>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</si>
  <si>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</si>
  <si>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</si>
  <si>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</si>
  <si>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</si>
  <si>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</si>
  <si>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</si>
  <si>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</si>
  <si>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</si>
  <si>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</si>
  <si>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</si>
  <si>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</si>
  <si>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</si>
  <si>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</si>
  <si>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</si>
  <si>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</si>
  <si>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</si>
  <si>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</si>
  <si>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</si>
  <si>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</si>
  <si>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</si>
  <si>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</si>
  <si>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</si>
  <si>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</si>
  <si>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</si>
  <si>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</si>
  <si>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</si>
  <si>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</si>
  <si>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</si>
  <si>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</si>
  <si>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</si>
  <si>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</si>
  <si>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</si>
  <si>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</si>
  <si>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</si>
  <si>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</si>
  <si>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</si>
  <si>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</si>
  <si>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</si>
  <si>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</si>
  <si>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</si>
  <si>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</si>
  <si>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</si>
  <si>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</si>
  <si>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</si>
  <si>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</si>
  <si>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</si>
  <si>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</si>
  <si>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</si>
  <si>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</si>
  <si>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</si>
  <si>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</si>
  <si>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</si>
  <si>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</si>
  <si>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</si>
  <si>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</si>
  <si>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</si>
  <si>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</si>
  <si>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</si>
  <si>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</si>
  <si>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</si>
  <si>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</si>
  <si>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</si>
  <si>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</si>
  <si>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</si>
  <si>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</si>
  <si>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</si>
  <si>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</si>
  <si>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</si>
  <si>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</si>
  <si>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</si>
  <si>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</si>
  <si>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</si>
  <si>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</si>
  <si>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</si>
  <si>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</si>
  <si>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</si>
  <si>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</si>
  <si>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</si>
  <si>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</si>
  <si>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</si>
  <si>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</si>
  <si>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</si>
  <si>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</si>
  <si>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</si>
  <si>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</si>
  <si>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</si>
  <si>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</si>
  <si>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</si>
  <si>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</si>
  <si>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</si>
  <si>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</si>
  <si>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</si>
  <si>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</si>
  <si>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</si>
  <si>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</si>
  <si>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</si>
  <si>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</si>
  <si>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</si>
  <si>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</si>
  <si>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</si>
  <si>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</si>
  <si>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</si>
  <si>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</si>
  <si>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</si>
  <si>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</si>
  <si>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</si>
  <si>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</si>
  <si>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</si>
  <si>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</si>
  <si>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</si>
  <si>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</si>
  <si>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</si>
  <si>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</si>
  <si>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</si>
  <si>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</si>
  <si>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</si>
  <si>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</si>
  <si>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</si>
  <si>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</si>
  <si>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</si>
  <si>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</si>
  <si>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</si>
  <si>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</si>
  <si>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</si>
  <si>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</si>
  <si>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</si>
  <si>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</si>
  <si>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</si>
  <si>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</si>
  <si>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</si>
  <si>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</si>
  <si>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</si>
  <si>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</si>
  <si>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</si>
  <si>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</si>
  <si>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</si>
  <si>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</si>
  <si>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</si>
  <si>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</si>
  <si>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</si>
  <si>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</si>
  <si>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</si>
  <si>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</si>
  <si>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</si>
  <si>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</si>
  <si>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</si>
  <si>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</si>
  <si>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</si>
  <si>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</si>
  <si>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</si>
  <si>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</si>
  <si>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</si>
  <si>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</si>
  <si>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</si>
  <si>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</si>
  <si>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</si>
  <si>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</si>
  <si>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</si>
  <si>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</si>
  <si>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</si>
  <si>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</si>
  <si>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</si>
  <si>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</si>
  <si>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</si>
  <si>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</si>
  <si>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</si>
  <si>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</si>
  <si>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</si>
  <si>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</si>
  <si>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</si>
  <si>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</si>
  <si>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</si>
  <si>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</si>
  <si>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</si>
  <si>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</si>
  <si>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</si>
  <si>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</si>
  <si>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</si>
  <si>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</si>
  <si>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</si>
  <si>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</si>
  <si>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</si>
  <si>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</si>
  <si>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</si>
  <si>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</si>
  <si>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</si>
  <si>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</si>
  <si>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</si>
  <si>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</si>
  <si>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</si>
  <si>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</si>
  <si>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</si>
  <si>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</si>
  <si>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</si>
  <si>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</si>
  <si>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</si>
  <si>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</si>
  <si>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</si>
  <si>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</si>
  <si>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</si>
  <si>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</si>
  <si>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</si>
  <si>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</si>
  <si>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</si>
  <si>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</si>
  <si>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</si>
  <si>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</si>
  <si>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</si>
  <si>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</si>
  <si>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</si>
  <si>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</si>
  <si>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</si>
  <si>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</si>
  <si>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</si>
  <si>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</si>
  <si>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</si>
  <si>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</si>
  <si>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</si>
  <si>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</si>
  <si>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</si>
  <si>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</si>
  <si>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</si>
  <si>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</si>
  <si>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</si>
  <si>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</si>
  <si>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</si>
  <si>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</si>
  <si>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</si>
  <si>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</si>
  <si>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</si>
  <si>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</si>
  <si>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</si>
  <si>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</si>
  <si>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</si>
  <si>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</si>
  <si>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</si>
  <si>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</si>
  <si>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</si>
  <si>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</si>
  <si>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</si>
  <si>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</si>
  <si>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</si>
  <si>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</si>
  <si>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</si>
  <si>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</si>
  <si>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</si>
  <si>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</si>
  <si>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</si>
  <si>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</si>
  <si>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</si>
  <si>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</si>
  <si>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</si>
  <si>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</si>
  <si>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</si>
  <si>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</si>
  <si>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</si>
  <si>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</si>
  <si>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</si>
  <si>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</si>
  <si>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</si>
  <si>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</si>
  <si>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</si>
  <si>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</si>
  <si>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</si>
  <si>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</si>
  <si>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</si>
  <si>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</si>
  <si>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</si>
  <si>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</si>
  <si>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</si>
  <si>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</si>
  <si>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</si>
  <si>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</si>
  <si>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</si>
  <si>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</si>
  <si>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</si>
  <si>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</si>
  <si>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</si>
  <si>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</si>
  <si>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</si>
  <si>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</si>
  <si>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</si>
  <si>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</si>
  <si>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</si>
  <si>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</si>
  <si>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</si>
  <si>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</si>
  <si>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</si>
  <si>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</si>
  <si>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</si>
  <si>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</si>
  <si>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</si>
  <si>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</si>
  <si>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</si>
  <si>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</si>
  <si>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</si>
  <si>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</si>
  <si>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</si>
  <si>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</si>
  <si>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</si>
  <si>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</si>
  <si>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</si>
  <si>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</si>
  <si>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</si>
  <si>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</si>
  <si>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</si>
  <si>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</si>
  <si>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</si>
  <si>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</si>
  <si>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</si>
  <si>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</si>
  <si>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</si>
  <si>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</si>
  <si>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</si>
  <si>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</si>
  <si>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</si>
  <si>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</si>
  <si>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</si>
  <si>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</si>
  <si>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</si>
  <si>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</si>
  <si>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</si>
  <si>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</si>
  <si>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</si>
  <si>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</si>
  <si>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</si>
  <si>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</si>
  <si>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</si>
  <si>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</si>
  <si>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</si>
  <si>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</si>
  <si>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</si>
  <si>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</si>
  <si>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</si>
  <si>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</si>
  <si>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</si>
  <si>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</si>
  <si>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</si>
  <si>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</si>
  <si>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</si>
  <si>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</si>
  <si>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</si>
  <si>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</si>
  <si>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</si>
  <si>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</si>
  <si>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</si>
  <si>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</si>
  <si>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</si>
  <si>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</si>
  <si>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</si>
  <si>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</si>
  <si>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</si>
  <si>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</si>
  <si>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</si>
  <si>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</si>
  <si>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</si>
  <si>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</si>
  <si>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</si>
  <si>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</si>
  <si>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</si>
  <si>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</si>
  <si>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</si>
  <si>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</si>
  <si>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</si>
  <si>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</si>
  <si>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</si>
  <si>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</si>
  <si>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</si>
  <si>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</si>
  <si>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</si>
  <si>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</si>
  <si>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</si>
  <si>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</si>
  <si>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</si>
  <si>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</si>
  <si>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</si>
  <si>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</si>
  <si>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</si>
  <si>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</si>
  <si>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</si>
  <si>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</si>
  <si>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</si>
  <si>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</si>
  <si>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</si>
  <si>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</si>
  <si>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</si>
  <si>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</si>
  <si>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</si>
  <si>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</si>
  <si>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</si>
  <si>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</si>
  <si>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</si>
  <si>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</si>
  <si>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</si>
  <si>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</si>
  <si>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</si>
  <si>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</si>
  <si>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</si>
  <si>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</si>
  <si>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</si>
  <si>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</si>
  <si>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</si>
  <si>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</si>
  <si>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</si>
  <si>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</si>
  <si>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</si>
  <si>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</si>
  <si>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</si>
  <si>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</si>
  <si>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</si>
  <si>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</si>
  <si>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</si>
  <si>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</si>
  <si>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</si>
  <si>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</si>
  <si>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</si>
  <si>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</si>
  <si>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</si>
  <si>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</si>
  <si>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</si>
  <si>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</si>
  <si>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</si>
  <si>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</si>
  <si>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</si>
  <si>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</si>
  <si>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</si>
  <si>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</si>
  <si>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</si>
  <si>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</si>
  <si>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</si>
  <si>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</si>
  <si>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</si>
  <si>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</si>
  <si>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</si>
  <si>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</si>
  <si>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</si>
  <si>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</si>
  <si>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</si>
  <si>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</si>
  <si>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</si>
  <si>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</si>
  <si>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</si>
  <si>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</si>
  <si>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</si>
  <si>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</si>
  <si>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</si>
  <si>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</si>
  <si>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</si>
  <si>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</si>
  <si>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</si>
  <si>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</si>
  <si>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</si>
  <si>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</si>
  <si>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</si>
  <si>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</si>
  <si>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</si>
  <si>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</si>
  <si>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</si>
  <si>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</si>
  <si>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</si>
  <si>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</si>
  <si>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</si>
  <si>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</si>
  <si>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</si>
  <si>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</si>
  <si>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</si>
  <si>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</si>
  <si>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</si>
  <si>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</si>
  <si>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</si>
  <si>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</si>
  <si>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</si>
  <si>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</si>
  <si>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</si>
  <si>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</si>
  <si>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</si>
  <si>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</si>
  <si>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</si>
  <si>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</si>
  <si>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</si>
  <si>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</si>
  <si>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</si>
  <si>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</si>
  <si>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</si>
  <si>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</si>
  <si>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</si>
  <si>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</si>
  <si>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</si>
  <si>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</si>
  <si>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</si>
  <si>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</si>
  <si>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</si>
  <si>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</si>
  <si>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</si>
  <si>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</si>
  <si>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</si>
  <si>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</si>
  <si>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</si>
  <si>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</si>
  <si>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</si>
  <si>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</si>
  <si>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</si>
  <si>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</si>
  <si>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</si>
  <si>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</si>
  <si>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</si>
  <si>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</si>
  <si>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</si>
  <si>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</si>
  <si>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</si>
  <si>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</si>
  <si>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</si>
  <si>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</si>
  <si>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</si>
  <si>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</si>
  <si>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</si>
  <si>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</si>
  <si>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</si>
  <si>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</si>
  <si>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</si>
  <si>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</si>
  <si>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</si>
  <si>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</si>
  <si>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</si>
  <si>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</si>
  <si>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</si>
  <si>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</si>
  <si>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</si>
  <si>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</si>
  <si>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</si>
  <si>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</si>
  <si>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</si>
  <si>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</si>
  <si>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</si>
  <si>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</si>
  <si>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</si>
  <si>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</si>
  <si>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</si>
  <si>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</si>
  <si>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</si>
  <si>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</si>
  <si>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</si>
  <si>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</si>
  <si>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</si>
  <si>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</si>
  <si>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</si>
  <si>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</si>
  <si>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</si>
  <si>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</si>
  <si>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</si>
  <si>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</si>
  <si>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</si>
  <si>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</si>
  <si>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</si>
  <si>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</si>
  <si>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</si>
  <si>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</si>
  <si>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</si>
  <si>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</si>
  <si>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</si>
  <si>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</si>
  <si>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</si>
  <si>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</si>
  <si>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</si>
  <si>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</si>
  <si>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</si>
  <si>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</si>
  <si>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</si>
  <si>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</si>
  <si>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</si>
  <si>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</si>
  <si>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</si>
  <si>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</si>
  <si>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</si>
  <si>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</si>
  <si>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</si>
  <si>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</si>
  <si>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</si>
  <si>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</si>
  <si>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</si>
  <si>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</si>
  <si>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</si>
  <si>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</si>
  <si>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</si>
  <si>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</si>
  <si>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</si>
  <si>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</si>
  <si>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</si>
  <si>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</si>
  <si>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</si>
  <si>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</si>
  <si>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</si>
  <si>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</si>
  <si>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</si>
  <si>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</si>
  <si>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</si>
  <si>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</si>
  <si>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</si>
  <si>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</si>
  <si>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</si>
  <si>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</si>
  <si>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</si>
  <si>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</si>
  <si>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</si>
  <si>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</si>
  <si>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</si>
  <si>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</si>
  <si>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</si>
  <si>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</si>
  <si>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</si>
  <si>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</si>
  <si>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</si>
  <si>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</si>
  <si>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</si>
  <si>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</si>
  <si>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</si>
  <si>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</si>
  <si>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</si>
  <si>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</si>
  <si>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</si>
  <si>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</si>
  <si>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</si>
  <si>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</si>
  <si>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</si>
  <si>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</si>
  <si>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</si>
  <si>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</si>
  <si>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</si>
  <si>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</si>
  <si>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</si>
  <si>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</si>
  <si>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</si>
  <si>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</si>
  <si>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</si>
  <si>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</si>
  <si>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</si>
  <si>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</si>
  <si>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</si>
  <si>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</si>
  <si>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</si>
  <si>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</si>
  <si>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</si>
  <si>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</si>
  <si>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</si>
  <si>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</si>
  <si>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</si>
  <si>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</si>
  <si>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</si>
  <si>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</si>
  <si>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</si>
  <si>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</si>
  <si>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</si>
  <si>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</si>
  <si>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</si>
  <si>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</si>
  <si>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</si>
  <si>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</si>
  <si>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</si>
  <si>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</si>
  <si>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</si>
  <si>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</si>
  <si>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</si>
  <si>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</si>
  <si>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</si>
  <si>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</si>
  <si>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</si>
  <si>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</si>
  <si>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</si>
  <si>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</si>
  <si>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</si>
  <si>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</si>
  <si>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</si>
  <si>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</si>
  <si>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</si>
  <si>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</si>
  <si>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</si>
  <si>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</si>
  <si>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</si>
  <si>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</si>
  <si>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</si>
  <si>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</si>
  <si>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</si>
  <si>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</si>
  <si>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</si>
  <si>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</si>
  <si>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</si>
  <si>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</si>
  <si>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</si>
  <si>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</si>
  <si>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</si>
  <si>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</si>
  <si>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</si>
  <si>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</si>
  <si>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</si>
  <si>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</si>
  <si>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</si>
  <si>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</si>
  <si>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</si>
  <si>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</si>
  <si>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</si>
  <si>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</si>
  <si>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</si>
  <si>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</si>
  <si>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</si>
  <si>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</si>
  <si>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</si>
  <si>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</si>
  <si>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</si>
  <si>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</si>
  <si>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</si>
  <si>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</si>
  <si>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</si>
  <si>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</si>
  <si>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</si>
  <si>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</si>
  <si>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</si>
  <si>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</si>
  <si>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</si>
  <si>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</si>
  <si>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</si>
  <si>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</si>
  <si>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</si>
  <si>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</si>
  <si>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</si>
  <si>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</si>
  <si>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</si>
  <si>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</si>
  <si>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</si>
  <si>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</si>
  <si>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</si>
  <si>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</si>
  <si>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</si>
  <si>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</si>
  <si>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</si>
  <si>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</si>
  <si>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</si>
  <si>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</si>
  <si>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</si>
  <si>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</si>
  <si>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</si>
  <si>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</si>
  <si>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</si>
  <si>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</si>
  <si>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</si>
  <si>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</si>
  <si>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</si>
  <si>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</si>
  <si>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</si>
  <si>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</si>
  <si>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</si>
  <si>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</si>
  <si>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</si>
  <si>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</si>
  <si>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</si>
  <si>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</si>
  <si>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</si>
  <si>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</si>
  <si>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</si>
  <si>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</si>
  <si>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</si>
  <si>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</si>
  <si>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</si>
  <si>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</si>
  <si>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</si>
  <si>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</si>
  <si>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</si>
  <si>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</si>
  <si>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</si>
  <si>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</si>
  <si>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</si>
  <si>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</si>
  <si>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</si>
  <si>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</si>
  <si>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</si>
  <si>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</si>
  <si>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</si>
  <si>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</si>
  <si>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</si>
  <si>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</si>
  <si>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</si>
  <si>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</si>
  <si>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</si>
  <si>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</si>
  <si>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</si>
  <si>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</si>
  <si>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</si>
  <si>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</si>
  <si>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</si>
  <si>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</si>
  <si>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</si>
  <si>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</si>
  <si>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</si>
  <si>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</si>
  <si>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</si>
  <si>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</si>
  <si>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</si>
  <si>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</si>
  <si>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</si>
  <si>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</si>
  <si>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</si>
  <si>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</si>
  <si>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</si>
  <si>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</si>
  <si>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</si>
  <si>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</si>
  <si>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</si>
  <si>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</si>
  <si>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</si>
  <si>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</si>
  <si>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</si>
  <si>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</si>
  <si>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</si>
  <si>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</si>
  <si>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</si>
  <si>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</si>
  <si>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</si>
  <si>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</si>
  <si>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</si>
  <si>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</si>
  <si>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</si>
  <si>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</si>
  <si>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</si>
  <si>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</si>
  <si>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</si>
  <si>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</si>
  <si>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</si>
  <si>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</si>
  <si>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</si>
  <si>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</si>
  <si>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</si>
  <si>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</si>
  <si>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</si>
  <si>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</si>
  <si>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</si>
  <si>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</si>
  <si>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</si>
  <si>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</si>
  <si>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</si>
  <si>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</si>
  <si>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</si>
  <si>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</si>
  <si>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</si>
  <si>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</si>
  <si>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</si>
  <si>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</si>
  <si>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</si>
  <si>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</si>
  <si>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</si>
  <si>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</si>
  <si>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</si>
  <si>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</si>
  <si>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</si>
  <si>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</si>
  <si>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</si>
  <si>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</si>
  <si>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</si>
  <si>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</si>
  <si>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</si>
  <si>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</si>
  <si>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</si>
  <si>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</si>
  <si>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</si>
  <si>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</si>
  <si>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</si>
  <si>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</si>
  <si>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</si>
  <si>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</si>
  <si>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</si>
  <si>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</si>
  <si>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</si>
  <si>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</si>
  <si>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</si>
  <si>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</si>
  <si>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</si>
  <si>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</si>
  <si>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</si>
  <si>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</si>
  <si>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</si>
  <si>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</si>
  <si>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</si>
  <si>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</si>
  <si>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</si>
  <si>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</si>
  <si>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</si>
  <si>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</si>
  <si>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</si>
  <si>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</si>
  <si>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</si>
  <si>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</si>
  <si>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</si>
  <si>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</si>
  <si>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</si>
  <si>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</si>
  <si>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</si>
  <si>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</si>
  <si>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</si>
  <si>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</si>
  <si>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</si>
  <si>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</si>
  <si>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</si>
  <si>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</si>
  <si>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</si>
  <si>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</si>
  <si>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</si>
  <si>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</si>
  <si>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</si>
  <si>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</si>
  <si>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</si>
  <si>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</si>
  <si>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</si>
  <si>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</si>
  <si>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</si>
  <si>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</si>
  <si>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</si>
  <si>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</si>
  <si>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</si>
  <si>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</si>
  <si>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</si>
  <si>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</si>
  <si>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</si>
  <si>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</si>
  <si>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</si>
  <si>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</si>
  <si>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</si>
  <si>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</si>
  <si>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</si>
  <si>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</si>
  <si>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</si>
  <si>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</si>
  <si>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</si>
  <si>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</si>
  <si>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</si>
  <si>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</si>
  <si>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</si>
  <si>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</si>
  <si>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</si>
  <si>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</si>
  <si>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</si>
  <si>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</si>
  <si>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</si>
  <si>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</si>
  <si>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</si>
  <si>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</si>
  <si>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</si>
  <si>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</si>
  <si>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</si>
  <si>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</si>
  <si>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</si>
  <si>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</si>
  <si>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</si>
  <si>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</si>
  <si>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</si>
  <si>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</si>
  <si>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</si>
  <si>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</si>
  <si>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</si>
  <si>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</si>
  <si>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</si>
  <si>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</si>
  <si>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</si>
  <si>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</si>
  <si>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</si>
  <si>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</si>
  <si>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</si>
  <si>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</si>
  <si>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</si>
  <si>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</si>
  <si>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</si>
  <si>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</si>
  <si>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</si>
  <si>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</si>
  <si>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</si>
  <si>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</si>
  <si>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</si>
  <si>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</si>
  <si>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</si>
  <si>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</si>
  <si>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</si>
  <si>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</si>
  <si>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</si>
  <si>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</si>
  <si>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</si>
  <si>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</si>
  <si>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</si>
  <si>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</si>
  <si>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</si>
  <si>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</si>
  <si>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</si>
  <si>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</si>
  <si>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</si>
  <si>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</si>
  <si>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</si>
  <si>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</si>
  <si>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</si>
  <si>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</si>
  <si>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</si>
  <si>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</si>
  <si>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</si>
  <si>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</si>
  <si>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</si>
  <si>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</si>
  <si>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</si>
  <si>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</si>
  <si>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</si>
  <si>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</si>
  <si>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</si>
  <si>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</si>
  <si>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</si>
  <si>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</si>
  <si>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</si>
  <si>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</si>
  <si>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</si>
  <si>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</si>
  <si>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</si>
  <si>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</si>
  <si>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</si>
  <si>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</si>
  <si>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</si>
  <si>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</si>
  <si>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</si>
  <si>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</si>
  <si>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</si>
  <si>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</si>
  <si>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</si>
  <si>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</si>
  <si>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</si>
  <si>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</si>
  <si>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</si>
  <si>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</si>
  <si>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</si>
  <si>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</si>
  <si>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</si>
  <si>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</si>
  <si>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</si>
  <si>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</si>
  <si>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</si>
  <si>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</si>
  <si>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</si>
  <si>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</si>
  <si>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</si>
  <si>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</si>
  <si>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</si>
  <si>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</si>
  <si>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</si>
  <si>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</si>
  <si>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</si>
  <si>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</si>
  <si>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</si>
  <si>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</si>
  <si>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</si>
  <si>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</si>
  <si>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</si>
  <si>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</si>
  <si>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</si>
  <si>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</si>
  <si>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</si>
  <si>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</si>
  <si>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</si>
  <si>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</si>
  <si>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</si>
  <si>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</si>
  <si>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</si>
  <si>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</si>
  <si>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</si>
  <si>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</si>
  <si>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</si>
  <si>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</si>
  <si>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</si>
  <si>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</si>
  <si>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</si>
  <si>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</si>
  <si>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</si>
  <si>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</si>
  <si>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</si>
  <si>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</si>
  <si>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</si>
  <si>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</si>
  <si>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</si>
  <si>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</si>
  <si>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</si>
  <si>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</si>
  <si>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</si>
  <si>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</si>
  <si>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</si>
  <si>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</si>
  <si>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</si>
  <si>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</si>
  <si>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</si>
  <si>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</si>
  <si>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</si>
  <si>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</si>
  <si>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</si>
  <si>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</si>
  <si>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</si>
  <si>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</si>
  <si>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</si>
  <si>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</si>
  <si>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</si>
  <si>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</si>
  <si>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</si>
  <si>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</si>
  <si>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</si>
  <si>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</si>
  <si>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</si>
  <si>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</si>
  <si>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</si>
  <si>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</si>
  <si>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</si>
  <si>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</si>
  <si>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</si>
  <si>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</si>
  <si>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</si>
  <si>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</si>
  <si>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</si>
  <si>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</si>
  <si>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</si>
  <si>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</si>
  <si>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</si>
  <si>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</si>
  <si>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</si>
  <si>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</si>
  <si>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</si>
  <si>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</si>
  <si>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</si>
  <si>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</si>
  <si>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</si>
  <si>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</si>
  <si>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</si>
  <si>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</si>
  <si>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</si>
  <si>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</si>
  <si>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</si>
  <si>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</si>
  <si>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</si>
  <si>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</si>
  <si>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</si>
  <si>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</si>
  <si>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</si>
  <si>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</si>
  <si>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</si>
  <si>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</si>
  <si>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</si>
  <si>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</si>
  <si>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</si>
  <si>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</si>
  <si>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</si>
  <si>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</si>
  <si>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</si>
  <si>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</si>
  <si>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</si>
  <si>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</si>
  <si>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</si>
  <si>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</si>
  <si>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</si>
  <si>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</si>
  <si>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</si>
  <si>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</si>
  <si>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</si>
  <si>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</si>
  <si>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</si>
  <si>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</si>
  <si>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</si>
  <si>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</si>
  <si>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</si>
  <si>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</si>
  <si>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</si>
  <si>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</si>
  <si>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</si>
  <si>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</si>
  <si>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</si>
  <si>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</si>
  <si>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</si>
  <si>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</si>
  <si>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</si>
  <si>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</si>
  <si>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</si>
  <si>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</si>
  <si>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</si>
  <si>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</si>
  <si>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</si>
  <si>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</si>
  <si>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</si>
  <si>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</si>
  <si>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</si>
  <si>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</si>
  <si>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</si>
  <si>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</si>
  <si>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</si>
  <si>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</si>
  <si>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</si>
  <si>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</si>
  <si>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</si>
  <si>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</si>
  <si>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</si>
  <si>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</si>
  <si>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</si>
  <si>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</si>
  <si>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</si>
  <si>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</si>
  <si>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</si>
  <si>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</si>
  <si>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</si>
  <si>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</si>
  <si>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</si>
  <si>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</si>
  <si>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</si>
  <si>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</si>
  <si>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</si>
  <si>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</si>
  <si>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</si>
  <si>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</si>
  <si>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</si>
  <si>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</si>
  <si>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</si>
  <si>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</si>
  <si>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</si>
  <si>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</si>
  <si>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</si>
  <si>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</si>
  <si>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</si>
  <si>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</si>
  <si>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</si>
  <si>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</si>
  <si>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</si>
  <si>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</si>
  <si>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</si>
  <si>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</si>
  <si>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</si>
  <si>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</si>
  <si>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</si>
  <si>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</si>
  <si>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</si>
  <si>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</si>
  <si>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</si>
  <si>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</si>
  <si>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</si>
  <si>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</si>
  <si>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</si>
  <si>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</si>
  <si>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</si>
  <si>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</si>
  <si>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</si>
  <si>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</si>
  <si>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</si>
  <si>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</si>
  <si>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</si>
  <si>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</si>
  <si>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</si>
  <si>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</si>
  <si>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</si>
  <si>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</si>
  <si>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</si>
  <si>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</si>
  <si>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</si>
  <si>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</si>
  <si>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</si>
  <si>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</si>
  <si>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</si>
  <si>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</si>
  <si>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</si>
  <si>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</si>
  <si>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</si>
  <si>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</si>
  <si>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</si>
  <si>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</si>
  <si>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</si>
  <si>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</si>
  <si>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</si>
  <si>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</si>
  <si>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</si>
  <si>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</si>
  <si>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</si>
  <si>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</si>
  <si>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</si>
  <si>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</si>
  <si>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</si>
  <si>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</si>
  <si>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</si>
  <si>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</si>
  <si>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</si>
  <si>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</si>
  <si>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</si>
  <si>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</si>
  <si>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</si>
  <si>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</si>
  <si>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</si>
  <si>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</si>
  <si>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</si>
  <si>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</si>
  <si>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</si>
  <si>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</si>
  <si>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</si>
  <si>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</si>
  <si>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</si>
  <si>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</si>
  <si>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</si>
  <si>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</si>
  <si>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</si>
  <si>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</si>
  <si>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</si>
  <si>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</si>
  <si>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</si>
  <si>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</si>
  <si>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</si>
  <si>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</si>
  <si>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</si>
  <si>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</si>
  <si>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</si>
  <si>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</si>
  <si>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</si>
  <si>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</si>
  <si>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</si>
  <si>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</si>
  <si>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</si>
  <si>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</si>
  <si>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</si>
  <si>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</si>
  <si>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</si>
  <si>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</si>
  <si>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</si>
  <si>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</si>
  <si>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</si>
  <si>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</si>
  <si>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</si>
  <si>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</si>
  <si>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</si>
  <si>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</si>
  <si>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</si>
  <si>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</si>
  <si>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</si>
  <si>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</si>
  <si>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</si>
  <si>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</si>
  <si>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</si>
  <si>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</si>
  <si>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</si>
  <si>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</si>
  <si>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</si>
  <si>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</si>
  <si>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</si>
  <si>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</si>
  <si>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</si>
  <si>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</si>
  <si>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</si>
  <si>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</si>
  <si>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</si>
  <si>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</si>
  <si>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</si>
  <si>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</si>
  <si>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</si>
  <si>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</si>
  <si>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</si>
  <si>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</si>
  <si>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</si>
  <si>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</si>
  <si>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</si>
  <si>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</si>
  <si>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</si>
  <si>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</si>
  <si>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</si>
  <si>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</si>
  <si>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</si>
  <si>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</si>
  <si>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</si>
  <si>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</si>
  <si>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</si>
  <si>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</si>
  <si>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</si>
  <si>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</si>
  <si>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</si>
  <si>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</si>
  <si>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</si>
  <si>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</si>
  <si>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</si>
  <si>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</si>
  <si>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</si>
  <si>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</si>
  <si>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</si>
  <si>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</si>
  <si>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</si>
  <si>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</si>
  <si>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</si>
  <si>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</si>
  <si>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</si>
  <si>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</si>
  <si>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</si>
  <si>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</si>
  <si>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</si>
  <si>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</si>
  <si>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</si>
  <si>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</si>
  <si>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</si>
  <si>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</si>
  <si>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</si>
  <si>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</si>
  <si>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</si>
  <si>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</si>
  <si>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</si>
  <si>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</si>
  <si>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</si>
  <si>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</si>
  <si>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</si>
  <si>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</si>
  <si>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</si>
  <si>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</si>
  <si>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</si>
  <si>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</si>
  <si>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</si>
  <si>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</si>
  <si>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</si>
  <si>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</si>
  <si>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</si>
  <si>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</si>
  <si>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</si>
  <si>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</si>
  <si>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</si>
  <si>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</si>
  <si>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</si>
  <si>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</si>
  <si>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</si>
  <si>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</si>
  <si>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</si>
  <si>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</si>
  <si>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</si>
  <si>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</si>
  <si>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</si>
  <si>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</si>
  <si>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</si>
  <si>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</si>
  <si>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</si>
  <si>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</si>
  <si>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</si>
  <si>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</si>
  <si>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</si>
  <si>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</si>
  <si>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</si>
  <si>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</si>
  <si>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</si>
  <si>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</si>
  <si>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</si>
  <si>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</si>
  <si>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</si>
  <si>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</si>
  <si>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</si>
  <si>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</si>
  <si>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</si>
  <si>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</si>
  <si>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</si>
  <si>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</si>
  <si>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</si>
  <si>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</si>
  <si>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</si>
  <si>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</si>
  <si>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</si>
  <si>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</si>
  <si>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</si>
  <si>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</si>
  <si>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</si>
  <si>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</si>
  <si>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</si>
  <si>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</si>
  <si>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</si>
  <si>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</si>
  <si>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</si>
  <si>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</si>
  <si>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</si>
  <si>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</si>
  <si>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</si>
  <si>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</si>
  <si>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</si>
  <si>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</si>
  <si>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</si>
  <si>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</si>
  <si>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</si>
  <si>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</si>
  <si>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</si>
  <si>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</si>
  <si>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</si>
  <si>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</si>
  <si>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</si>
  <si>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</si>
  <si>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</si>
  <si>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</si>
  <si>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</si>
  <si>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</si>
  <si>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</si>
  <si>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</si>
  <si>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</si>
  <si>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</si>
  <si>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</si>
  <si>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</si>
  <si>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</si>
  <si>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</si>
  <si>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</si>
  <si>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</si>
  <si>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</si>
  <si>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</si>
  <si>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</si>
  <si>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</si>
  <si>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</si>
  <si>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</si>
  <si>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</si>
  <si>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</si>
  <si>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</si>
  <si>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</si>
  <si>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</si>
  <si>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</si>
  <si>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</si>
  <si>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</si>
  <si>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</si>
  <si>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</si>
  <si>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</si>
  <si>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</si>
  <si>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</si>
  <si>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</si>
  <si>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</si>
  <si>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</si>
  <si>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</si>
  <si>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</si>
  <si>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</si>
  <si>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</si>
  <si>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</si>
  <si>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</si>
  <si>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</si>
  <si>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</si>
  <si>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</si>
  <si>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</si>
  <si>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</si>
  <si>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</si>
  <si>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</si>
  <si>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</si>
  <si>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</si>
  <si>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</si>
  <si>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</si>
  <si>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</si>
  <si>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</si>
  <si>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</si>
  <si>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</si>
  <si>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</si>
  <si>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</si>
  <si>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</si>
  <si>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</si>
  <si>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</si>
  <si>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</si>
  <si>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</si>
  <si>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</si>
  <si>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</si>
  <si>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</si>
  <si>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</si>
  <si>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</si>
  <si>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</si>
  <si>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</si>
  <si>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</si>
  <si>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</si>
  <si>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</si>
  <si>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</si>
  <si>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</si>
  <si>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</si>
  <si>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</si>
  <si>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</si>
  <si>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</si>
  <si>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</si>
  <si>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</si>
  <si>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</si>
  <si>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</si>
  <si>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</si>
  <si>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</si>
  <si>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</si>
  <si>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</si>
  <si>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</si>
  <si>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</si>
  <si>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</si>
  <si>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</si>
  <si>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</si>
  <si>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</si>
  <si>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</si>
  <si>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</si>
  <si>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</si>
  <si>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</si>
  <si>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</si>
  <si>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</si>
  <si>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</si>
  <si>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</si>
  <si>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</si>
  <si>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</si>
  <si>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</si>
  <si>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</si>
  <si>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</si>
  <si>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</si>
  <si>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</si>
  <si>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</si>
  <si>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</si>
  <si>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</si>
  <si>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</si>
  <si>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</si>
  <si>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</si>
  <si>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</si>
  <si>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</si>
  <si>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</si>
  <si>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</si>
  <si>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</si>
  <si>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</si>
  <si>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</si>
  <si>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</si>
  <si>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</si>
  <si>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</si>
  <si>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</si>
  <si>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</si>
  <si>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</si>
  <si>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</si>
  <si>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</si>
  <si>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</si>
  <si>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</si>
  <si>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</si>
  <si>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</si>
  <si>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</si>
  <si>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</si>
  <si>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</si>
  <si>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</si>
  <si>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</si>
  <si>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</si>
  <si>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</si>
  <si>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</si>
  <si>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</si>
  <si>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</si>
  <si>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</si>
  <si>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</si>
  <si>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</si>
  <si>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</si>
  <si>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</si>
  <si>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</si>
  <si>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</si>
  <si>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</si>
  <si>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</si>
  <si>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</si>
  <si>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</si>
  <si>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</si>
  <si>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</si>
  <si>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</si>
  <si>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</si>
  <si>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</si>
  <si>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</si>
  <si>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</si>
  <si>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</si>
  <si>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</si>
  <si>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</si>
  <si>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</si>
  <si>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</si>
  <si>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</si>
  <si>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</si>
  <si>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</si>
  <si>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</si>
  <si>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</si>
  <si>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</si>
  <si>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</si>
  <si>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</si>
  <si>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</si>
  <si>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</si>
  <si>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</si>
  <si>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</si>
  <si>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</si>
  <si>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</si>
  <si>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</si>
  <si>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</si>
  <si>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</si>
  <si>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</si>
  <si>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</si>
  <si>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</si>
  <si>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</si>
  <si>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</si>
  <si>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</si>
  <si>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</si>
  <si>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</si>
  <si>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</si>
  <si>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</si>
  <si>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</si>
  <si>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</si>
  <si>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</si>
  <si>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</si>
  <si>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</si>
  <si>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</si>
  <si>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</si>
  <si>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</si>
  <si>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</si>
  <si>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</si>
  <si>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</si>
  <si>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</si>
  <si>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</si>
  <si>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</si>
  <si>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</si>
  <si>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</si>
  <si>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</si>
  <si>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</si>
  <si>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</si>
  <si>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</si>
  <si>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</si>
  <si>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</si>
  <si>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</si>
  <si>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</si>
  <si>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</si>
  <si>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</si>
  <si>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</si>
  <si>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</si>
  <si>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</si>
  <si>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</si>
  <si>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</si>
  <si>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</si>
  <si>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</si>
  <si>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</si>
  <si>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</si>
  <si>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</si>
  <si>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</si>
  <si>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</si>
  <si>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</si>
  <si>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</si>
  <si>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</si>
  <si>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</si>
  <si>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</si>
  <si>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</si>
  <si>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</si>
  <si>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</si>
  <si>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</si>
  <si>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</si>
  <si>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</si>
  <si>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</si>
  <si>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</si>
  <si>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</si>
  <si>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</si>
  <si>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</si>
  <si>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</si>
  <si>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</si>
  <si>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</si>
  <si>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</si>
  <si>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</si>
  <si>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</si>
  <si>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</si>
  <si>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</si>
  <si>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</si>
  <si>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</si>
  <si>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</si>
  <si>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</si>
  <si>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</si>
  <si>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</si>
  <si>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</si>
  <si>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</si>
  <si>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</si>
  <si>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</si>
  <si>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</si>
  <si>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</si>
  <si>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</si>
  <si>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</si>
  <si>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</si>
  <si>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</si>
  <si>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</si>
  <si>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</si>
  <si>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</si>
  <si>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</si>
  <si>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</si>
  <si>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</si>
  <si>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</si>
  <si>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</si>
  <si>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</si>
  <si>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</si>
  <si>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</si>
  <si>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</si>
  <si>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</si>
  <si>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</si>
  <si>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</si>
  <si>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</si>
  <si>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</si>
  <si>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</si>
  <si>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</si>
  <si>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</si>
  <si>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</si>
  <si>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</si>
  <si>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</si>
  <si>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</si>
  <si>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</si>
  <si>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</si>
  <si>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</si>
  <si>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</si>
  <si>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</si>
  <si>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</si>
  <si>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</si>
  <si>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</si>
  <si>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</si>
  <si>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</si>
  <si>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</si>
  <si>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</si>
  <si>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</si>
  <si>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</si>
  <si>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</si>
  <si>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</si>
  <si>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</si>
  <si>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</si>
  <si>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</si>
  <si>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</si>
  <si>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</si>
  <si>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</si>
  <si>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</si>
  <si>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</si>
  <si>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</si>
  <si>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</si>
  <si>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</si>
  <si>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</si>
  <si>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</si>
  <si>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</si>
  <si>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</si>
  <si>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</si>
  <si>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</si>
  <si>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</si>
  <si>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</si>
  <si>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</si>
  <si>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</si>
  <si>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</si>
  <si>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</si>
  <si>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</si>
  <si>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</si>
  <si>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</si>
  <si>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</si>
  <si>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</si>
  <si>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</si>
  <si>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</si>
  <si>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</si>
  <si>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</si>
  <si>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</si>
  <si>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</si>
  <si>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</si>
  <si>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</si>
  <si>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</si>
  <si>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</si>
  <si>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</si>
  <si>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</si>
  <si>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</si>
  <si>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</si>
  <si>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</si>
  <si>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</si>
  <si>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</si>
  <si>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</si>
  <si>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</si>
  <si>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</si>
  <si>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</si>
  <si>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</si>
  <si>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</si>
  <si>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</si>
  <si>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</si>
  <si>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</si>
  <si>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</si>
  <si>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</si>
  <si>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</si>
  <si>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</si>
  <si>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</si>
  <si>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</si>
  <si>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</si>
  <si>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</si>
  <si>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</si>
  <si>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</si>
  <si>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</si>
  <si>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</si>
  <si>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</si>
  <si>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</si>
  <si>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</si>
  <si>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</si>
  <si>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</si>
  <si>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</si>
  <si>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</si>
  <si>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</si>
  <si>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</si>
  <si>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</si>
  <si>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</si>
  <si>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</si>
  <si>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</si>
  <si>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</si>
  <si>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</si>
  <si>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</si>
  <si>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</si>
  <si>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</si>
  <si>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</si>
  <si>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</si>
  <si>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</si>
  <si>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</si>
  <si>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</si>
  <si>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</si>
  <si>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</si>
  <si>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</si>
  <si>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</si>
  <si>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</si>
  <si>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</si>
  <si>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</si>
  <si>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</si>
  <si>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</si>
  <si>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</si>
  <si>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</si>
  <si>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</si>
  <si>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</si>
  <si>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</si>
  <si>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</si>
  <si>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</si>
  <si>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</si>
  <si>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</si>
  <si>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</si>
  <si>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</si>
  <si>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</si>
  <si>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</si>
  <si>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</si>
  <si>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</si>
  <si>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</si>
  <si>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</si>
  <si>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</si>
  <si>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</si>
  <si>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</si>
  <si>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</si>
  <si>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</si>
  <si>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</si>
  <si>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</si>
  <si>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</si>
  <si>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</si>
  <si>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</si>
  <si>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</si>
  <si>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</si>
  <si>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</si>
  <si>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</si>
  <si>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</si>
  <si>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</si>
  <si>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</si>
  <si>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</si>
  <si>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</si>
  <si>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</si>
  <si>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</si>
  <si>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</si>
  <si>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</si>
  <si>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</si>
  <si>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</si>
  <si>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</si>
  <si>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</si>
  <si>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</si>
  <si>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</si>
  <si>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</si>
  <si>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</si>
  <si>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</si>
  <si>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</si>
  <si>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</si>
  <si>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</si>
  <si>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</si>
  <si>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</si>
  <si>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</si>
  <si>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</si>
  <si>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</si>
  <si>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</si>
  <si>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</si>
  <si>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</si>
  <si>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</si>
  <si>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</si>
  <si>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</si>
  <si>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</si>
  <si>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</si>
  <si>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</si>
  <si>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</si>
  <si>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</si>
  <si>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</si>
  <si>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</si>
  <si>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</si>
  <si>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</si>
  <si>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</si>
  <si>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</si>
  <si>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</si>
  <si>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</si>
  <si>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</si>
  <si>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</si>
  <si>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</si>
  <si>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</si>
  <si>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</si>
  <si>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</si>
  <si>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</si>
  <si>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</si>
  <si>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</si>
  <si>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</si>
  <si>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</si>
  <si>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</si>
  <si>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</si>
  <si>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</si>
  <si>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</si>
  <si>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</si>
  <si>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</si>
  <si>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</si>
  <si>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</si>
  <si>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</si>
  <si>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</si>
  <si>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</si>
  <si>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</si>
  <si>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</si>
  <si>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</si>
  <si>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</si>
  <si>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</si>
  <si>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</si>
  <si>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</si>
  <si>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</si>
  <si>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</si>
  <si>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</si>
  <si>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</si>
  <si>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</si>
  <si>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</si>
  <si>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</si>
  <si>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</si>
  <si>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</si>
  <si>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</si>
  <si>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</si>
  <si>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</si>
  <si>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</si>
  <si>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</si>
  <si>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</si>
  <si>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</si>
  <si>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</si>
  <si>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</si>
  <si>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</si>
  <si>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</si>
  <si>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</si>
  <si>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</si>
  <si>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</si>
  <si>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</si>
  <si>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</si>
  <si>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</si>
  <si>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</si>
  <si>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</si>
  <si>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</si>
  <si>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</si>
  <si>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</si>
  <si>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</si>
  <si>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</si>
  <si>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</si>
  <si>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</si>
  <si>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</si>
  <si>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</si>
  <si>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</si>
  <si>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</si>
  <si>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</si>
  <si>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</si>
  <si>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</si>
  <si>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</si>
  <si>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</si>
  <si>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</si>
  <si>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</si>
  <si>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</si>
  <si>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</si>
  <si>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</si>
  <si>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</si>
  <si>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</si>
  <si>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</si>
  <si>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</si>
  <si>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</si>
  <si>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</si>
  <si>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</si>
  <si>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</si>
  <si>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</si>
  <si>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</si>
  <si>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</si>
  <si>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</si>
  <si>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</si>
  <si>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</si>
  <si>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</si>
  <si>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</si>
  <si>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</si>
  <si>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</si>
  <si>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</si>
  <si>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</si>
  <si>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</si>
  <si>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</si>
  <si>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</si>
  <si>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</si>
  <si>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</si>
  <si>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</si>
  <si>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</si>
  <si>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</si>
  <si>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</si>
  <si>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</si>
  <si>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</si>
  <si>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</si>
  <si>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</si>
  <si>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</si>
  <si>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</si>
  <si>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</si>
  <si>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</si>
  <si>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</si>
  <si>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</si>
  <si>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</si>
  <si>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</si>
  <si>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</si>
  <si>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</si>
  <si>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</si>
  <si>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</si>
  <si>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</si>
  <si>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</si>
  <si>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</si>
  <si>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</si>
  <si>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</si>
  <si>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</si>
  <si>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</si>
  <si>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</si>
  <si>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</si>
  <si>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</si>
  <si>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</si>
  <si>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</si>
  <si>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</si>
  <si>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</si>
  <si>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</si>
  <si>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</si>
  <si>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</si>
  <si>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</si>
  <si>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</si>
  <si>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</si>
  <si>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</si>
  <si>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</si>
  <si>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</si>
  <si>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</si>
  <si>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</si>
  <si>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</si>
  <si>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</si>
  <si>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</si>
  <si>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</si>
  <si>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</si>
  <si>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</si>
  <si>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</si>
  <si>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</si>
  <si>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</si>
  <si>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</si>
  <si>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</si>
  <si>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</si>
  <si>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</si>
  <si>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</si>
  <si>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</si>
  <si>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</si>
  <si>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</si>
  <si>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</si>
  <si>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</si>
  <si>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</si>
  <si>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</si>
  <si>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</si>
  <si>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</si>
  <si>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</si>
  <si>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</si>
  <si>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</si>
  <si>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</si>
  <si>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</si>
  <si>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</si>
  <si>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</si>
  <si>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</si>
  <si>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</si>
  <si>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</si>
  <si>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</si>
  <si>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</si>
  <si>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</si>
  <si>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</si>
  <si>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</si>
  <si>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</si>
  <si>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</si>
  <si>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</si>
  <si>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</si>
  <si>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</si>
  <si>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</si>
  <si>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</si>
  <si>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</si>
  <si>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</si>
  <si>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</si>
  <si>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</si>
  <si>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</si>
  <si>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</si>
  <si>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</si>
  <si>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</si>
  <si>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</si>
  <si>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</si>
  <si>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</si>
  <si>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</si>
  <si>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</si>
  <si>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</si>
  <si>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</si>
  <si>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</si>
  <si>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</si>
  <si>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</si>
  <si>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</si>
  <si>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</si>
  <si>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</si>
  <si>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</si>
  <si>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</si>
  <si>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</si>
  <si>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</si>
  <si>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</si>
  <si>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</si>
  <si>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</si>
  <si>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</si>
  <si>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</si>
  <si>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</si>
  <si>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</si>
  <si>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</si>
  <si>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</si>
  <si>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</si>
  <si>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</si>
  <si>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</si>
  <si>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</si>
  <si>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</si>
  <si>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</si>
  <si>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</si>
  <si>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</si>
  <si>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</si>
  <si>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</si>
  <si>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</si>
  <si>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</si>
  <si>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</si>
  <si>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</si>
  <si>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</si>
  <si>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</si>
  <si>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</si>
  <si>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</si>
  <si>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</si>
  <si>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</si>
  <si>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</si>
  <si>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</si>
  <si>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</si>
  <si>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</si>
  <si>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</si>
  <si>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</si>
  <si>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</si>
  <si>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</si>
  <si>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</si>
  <si>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</si>
  <si>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</si>
  <si>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</si>
  <si>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</si>
  <si>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</si>
  <si>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</si>
  <si>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</si>
  <si>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</si>
  <si>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</si>
  <si>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</si>
  <si>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</si>
  <si>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</si>
  <si>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</si>
  <si>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</si>
  <si>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</si>
  <si>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</si>
  <si>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</si>
  <si>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</si>
  <si>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</si>
  <si>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</si>
  <si>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</si>
  <si>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</si>
  <si>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</si>
  <si>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</si>
  <si>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</si>
  <si>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</si>
  <si>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</si>
  <si>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</si>
  <si>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</si>
  <si>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</si>
  <si>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</si>
  <si>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</si>
  <si>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</si>
  <si>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</si>
  <si>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</si>
  <si>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</si>
  <si>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</si>
  <si>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</si>
  <si>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</si>
  <si>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</si>
  <si>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</si>
  <si>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</si>
  <si>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</si>
  <si>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</si>
  <si>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</si>
  <si>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</si>
  <si>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</si>
  <si>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</si>
  <si>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</si>
  <si>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</si>
  <si>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</si>
  <si>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</si>
  <si>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</si>
  <si>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</si>
  <si>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</si>
  <si>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</si>
  <si>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</si>
  <si>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</si>
  <si>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</si>
  <si>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</si>
  <si>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</si>
  <si>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</si>
  <si>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</si>
  <si>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</si>
  <si>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</si>
  <si>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</si>
  <si>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</si>
  <si>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</si>
  <si>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</si>
  <si>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</si>
  <si>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</si>
  <si>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</si>
  <si>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</si>
  <si>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</si>
  <si>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</si>
  <si>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</si>
  <si>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</si>
  <si>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</si>
  <si>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</si>
  <si>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</si>
  <si>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</si>
  <si>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</si>
  <si>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</si>
  <si>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</si>
  <si>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</si>
  <si>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</si>
  <si>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</si>
  <si>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</si>
  <si>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</si>
  <si>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</si>
  <si>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</si>
  <si>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</si>
  <si>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</si>
  <si>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</si>
  <si>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</si>
  <si>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</si>
  <si>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</si>
  <si>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</si>
  <si>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</si>
  <si>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</si>
  <si>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</si>
  <si>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</si>
  <si>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</si>
  <si>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</si>
  <si>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</si>
  <si>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</si>
  <si>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</si>
  <si>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</si>
  <si>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</si>
  <si>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</si>
  <si>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</si>
  <si>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</si>
  <si>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</si>
  <si>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</si>
  <si>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</si>
  <si>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</si>
  <si>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</si>
  <si>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</si>
  <si>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</si>
  <si>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</si>
  <si>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</si>
  <si>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</si>
  <si>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</si>
  <si>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</si>
  <si>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</si>
  <si>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</si>
  <si>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</si>
  <si>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</si>
  <si>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</si>
  <si>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</si>
  <si>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</si>
  <si>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</si>
  <si>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</si>
  <si>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</si>
  <si>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</si>
  <si>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</si>
  <si>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</si>
  <si>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</si>
  <si>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</si>
  <si>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</si>
  <si>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</si>
  <si>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</si>
  <si>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</si>
  <si>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</si>
  <si>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</si>
  <si>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</si>
  <si>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</si>
  <si>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</si>
  <si>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</si>
  <si>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</si>
  <si>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</si>
  <si>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</si>
  <si>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</si>
  <si>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</si>
  <si>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</si>
  <si>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</si>
  <si>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</si>
  <si>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</si>
  <si>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</si>
  <si>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</si>
  <si>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</si>
  <si>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</si>
  <si>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</si>
  <si>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</si>
  <si>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</si>
  <si>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</si>
  <si>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</si>
  <si>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</si>
  <si>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</si>
  <si>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</si>
  <si>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</si>
  <si>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</si>
  <si>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</si>
  <si>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</si>
  <si>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</si>
  <si>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</si>
  <si>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</si>
  <si>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</si>
  <si>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</si>
  <si>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</si>
  <si>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</si>
  <si>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</si>
  <si>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</si>
  <si>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</si>
  <si>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</si>
  <si>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</si>
  <si>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</si>
  <si>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</si>
  <si>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</si>
  <si>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</si>
  <si>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</si>
  <si>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</si>
  <si>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</si>
  <si>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</si>
  <si>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</si>
  <si>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</si>
  <si>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</si>
  <si>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</si>
  <si>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</si>
  <si>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</si>
  <si>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</si>
  <si>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</si>
  <si>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</si>
  <si>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</si>
  <si>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</si>
  <si>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</si>
  <si>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</si>
  <si>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</si>
  <si>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</si>
  <si>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</si>
  <si>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</si>
  <si>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</si>
  <si>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</si>
  <si>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</si>
  <si>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</si>
  <si>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</si>
  <si>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</si>
  <si>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</si>
  <si>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</si>
  <si>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</si>
  <si>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</si>
  <si>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</si>
  <si>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</si>
  <si>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</si>
  <si>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</si>
  <si>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</si>
  <si>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</si>
  <si>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</si>
  <si>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</si>
  <si>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</si>
  <si>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</si>
  <si>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</si>
  <si>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</si>
  <si>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</si>
  <si>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</si>
  <si>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</si>
  <si>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</si>
  <si>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</si>
  <si>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</si>
  <si>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</si>
  <si>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</si>
  <si>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</si>
  <si>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</si>
  <si>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</si>
  <si>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</si>
  <si>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</si>
  <si>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</si>
  <si>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</si>
  <si>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</si>
  <si>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</si>
  <si>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</si>
  <si>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</si>
  <si>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</si>
  <si>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</si>
  <si>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</si>
  <si>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</si>
  <si>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</si>
  <si>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</si>
  <si>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</si>
  <si>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</si>
  <si>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</si>
  <si>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</si>
  <si>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</si>
  <si>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</si>
  <si>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</si>
  <si>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</si>
  <si>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</si>
  <si>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</si>
  <si>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</si>
  <si>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</si>
  <si>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</si>
  <si>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</si>
  <si>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</si>
  <si>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</si>
  <si>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</si>
  <si>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</si>
  <si>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</si>
  <si>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</si>
  <si>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</si>
  <si>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</si>
  <si>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</si>
  <si>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</si>
  <si>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</si>
  <si>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</si>
  <si>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</si>
  <si>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</si>
  <si>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</si>
  <si>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</si>
  <si>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</si>
  <si>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</si>
  <si>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</si>
  <si>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</si>
  <si>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</si>
  <si>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</si>
  <si>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</si>
  <si>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</si>
  <si>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</si>
  <si>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</si>
  <si>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</si>
  <si>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</si>
  <si>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</si>
  <si>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</si>
  <si>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</si>
  <si>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</si>
  <si>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</si>
  <si>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</si>
  <si>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</si>
  <si>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</si>
  <si>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</si>
  <si>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</si>
  <si>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</si>
  <si>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</si>
  <si>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</si>
  <si>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</si>
  <si>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</si>
  <si>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</si>
  <si>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</si>
  <si>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</si>
  <si>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</si>
  <si>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</si>
  <si>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</si>
  <si>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</si>
  <si>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</si>
  <si>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</si>
  <si>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</si>
  <si>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</si>
  <si>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</si>
  <si>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</si>
  <si>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</si>
  <si>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</si>
  <si>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</si>
  <si>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</si>
  <si>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</si>
  <si>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</si>
  <si>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</si>
  <si>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</si>
  <si>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</si>
  <si>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</si>
  <si>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</si>
  <si>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</si>
  <si>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</si>
  <si>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</si>
  <si>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</si>
  <si>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</si>
  <si>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</si>
  <si>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</si>
  <si>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</si>
  <si>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</si>
  <si>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</si>
  <si>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</si>
  <si>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</si>
  <si>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</si>
  <si>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</si>
  <si>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</si>
  <si>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</si>
  <si>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</si>
  <si>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</si>
  <si>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</si>
  <si>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</si>
  <si>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</si>
  <si>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</si>
  <si>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</si>
  <si>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</si>
  <si>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</si>
  <si>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</si>
  <si>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</si>
  <si>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</si>
  <si>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</si>
  <si>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</si>
  <si>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</si>
  <si>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</si>
  <si>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</si>
  <si>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</si>
  <si>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</si>
  <si>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</si>
  <si>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</si>
  <si>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</si>
  <si>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</si>
  <si>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</si>
  <si>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</si>
  <si>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</si>
  <si>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</si>
  <si>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</si>
  <si>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</si>
  <si>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</si>
  <si>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</si>
  <si>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</si>
  <si>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</si>
  <si>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</si>
  <si>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</si>
  <si>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</si>
  <si>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</si>
  <si>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</si>
  <si>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</si>
  <si>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</si>
  <si>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</si>
  <si>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</si>
  <si>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</si>
  <si>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</si>
  <si>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</si>
  <si>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</si>
  <si>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</si>
  <si>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</si>
  <si>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</si>
  <si>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</si>
  <si>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</si>
  <si>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</si>
  <si>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</si>
  <si>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</si>
  <si>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</si>
  <si>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</si>
  <si>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</si>
  <si>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</si>
  <si>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</si>
  <si>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</si>
  <si>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</si>
  <si>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</si>
  <si>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</si>
  <si>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</si>
  <si>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</si>
  <si>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</si>
  <si>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</si>
  <si>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</si>
  <si>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</si>
  <si>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</si>
  <si>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</si>
  <si>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</si>
  <si>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</si>
  <si>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</si>
  <si>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</si>
  <si>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</si>
  <si>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</si>
  <si>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</si>
  <si>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</si>
  <si>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</si>
  <si>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</si>
  <si>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</si>
  <si>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</si>
  <si>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</si>
  <si>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</si>
  <si>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</si>
  <si>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</si>
  <si>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</si>
  <si>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</si>
  <si>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</si>
  <si>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</si>
  <si>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</si>
  <si>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</si>
  <si>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</si>
  <si>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</si>
  <si>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</si>
  <si>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</si>
  <si>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</si>
  <si>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</si>
  <si>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</si>
  <si>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</si>
  <si>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</si>
  <si>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</si>
  <si>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</si>
  <si>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</si>
  <si>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</si>
  <si>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</si>
  <si>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</si>
  <si>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</si>
  <si>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</si>
  <si>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</si>
  <si>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</si>
  <si>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</si>
  <si>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</si>
  <si>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</si>
  <si>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</si>
  <si>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</si>
  <si>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</si>
  <si>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</si>
  <si>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</si>
  <si>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</si>
  <si>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</si>
  <si>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</si>
  <si>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</si>
  <si>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</si>
  <si>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</si>
  <si>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</si>
  <si>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</si>
  <si>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</si>
  <si>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</si>
  <si>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</si>
  <si>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</si>
  <si>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</si>
  <si>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</si>
  <si>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</si>
  <si>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</si>
  <si>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</si>
  <si>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</si>
  <si>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</si>
  <si>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</si>
  <si>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</si>
  <si>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</si>
  <si>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</si>
  <si>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</si>
  <si>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</si>
  <si>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</si>
  <si>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</si>
  <si>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</si>
  <si>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</si>
  <si>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</si>
  <si>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</si>
  <si>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</si>
  <si>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</si>
  <si>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</si>
  <si>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</si>
  <si>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</si>
  <si>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</si>
  <si>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</si>
  <si>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</si>
  <si>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</si>
  <si>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</si>
  <si>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</si>
  <si>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</si>
  <si>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</si>
  <si>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</si>
  <si>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</si>
  <si>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</si>
  <si>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</si>
  <si>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</si>
  <si>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</si>
  <si>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</si>
  <si>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</si>
  <si>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</si>
  <si>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</si>
  <si>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</si>
  <si>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</si>
  <si>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</si>
  <si>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</si>
  <si>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</si>
  <si>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</si>
  <si>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</si>
  <si>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</si>
  <si>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</si>
  <si>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</si>
  <si>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</si>
  <si>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</si>
  <si>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</si>
  <si>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</si>
  <si>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</si>
  <si>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</si>
  <si>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</si>
  <si>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</si>
  <si>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</si>
  <si>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</si>
  <si>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</si>
  <si>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</si>
  <si>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</si>
  <si>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</si>
  <si>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</si>
  <si>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</si>
  <si>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</si>
  <si>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</si>
  <si>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</si>
  <si>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</si>
  <si>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</si>
  <si>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</si>
  <si>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</si>
  <si>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</si>
  <si>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</si>
  <si>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</si>
  <si>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</si>
  <si>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</si>
  <si>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</si>
  <si>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</si>
  <si>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</si>
  <si>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</si>
  <si>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</si>
  <si>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</si>
  <si>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</si>
  <si>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</si>
  <si>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</si>
  <si>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</si>
  <si>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</si>
  <si>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</si>
  <si>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</si>
  <si>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</si>
  <si>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</si>
  <si>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</si>
  <si>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</si>
  <si>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</si>
  <si>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</si>
  <si>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</si>
  <si>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</si>
  <si>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</si>
  <si>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</si>
  <si>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</si>
  <si>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</si>
  <si>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</si>
  <si>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</si>
  <si>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</si>
  <si>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</si>
  <si>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</si>
  <si>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</si>
  <si>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</si>
  <si>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</si>
  <si>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</si>
  <si>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</si>
  <si>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</si>
  <si>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</si>
  <si>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</si>
  <si>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</si>
  <si>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</si>
  <si>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</si>
  <si>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</si>
  <si>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</si>
  <si>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</si>
  <si>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</si>
  <si>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</si>
  <si>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</si>
  <si>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</si>
  <si>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</si>
  <si>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</si>
  <si>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</si>
  <si>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</si>
  <si>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</si>
  <si>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</si>
  <si>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</si>
  <si>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</si>
  <si>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</si>
  <si>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</si>
  <si>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</si>
  <si>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</si>
  <si>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</si>
  <si>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</si>
  <si>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</si>
  <si>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</si>
  <si>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</si>
  <si>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</si>
  <si>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</si>
  <si>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</si>
  <si>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</si>
  <si>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</si>
  <si>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</si>
  <si>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</si>
  <si>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</si>
  <si>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</si>
  <si>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</si>
  <si>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</si>
  <si>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</si>
  <si>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</si>
  <si>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</si>
  <si>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</si>
  <si>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</si>
  <si>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</si>
  <si>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</si>
  <si>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</si>
  <si>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</si>
  <si>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</si>
  <si>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</si>
  <si>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</si>
  <si>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</si>
  <si>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</si>
  <si>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</si>
  <si>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</si>
  <si>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</si>
  <si>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</si>
  <si>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</si>
  <si>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</si>
  <si>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</si>
  <si>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</si>
  <si>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</si>
  <si>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</si>
  <si>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</si>
  <si>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</si>
  <si>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</si>
  <si>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</si>
  <si>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</si>
  <si>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</si>
  <si>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</si>
  <si>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</si>
  <si>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</si>
  <si>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</si>
  <si>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</si>
  <si>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</si>
  <si>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</si>
  <si>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</si>
  <si>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</si>
  <si>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</si>
  <si>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</si>
  <si>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</si>
  <si>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</si>
  <si>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</si>
  <si>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</si>
  <si>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</si>
  <si>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</si>
  <si>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</si>
  <si>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</si>
  <si>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</si>
  <si>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</si>
  <si>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</si>
  <si>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</si>
  <si>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</si>
  <si>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</si>
  <si>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</si>
  <si>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</si>
  <si>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</si>
  <si>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</si>
  <si>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</si>
  <si>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</si>
  <si>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</si>
  <si>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</si>
  <si>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</si>
  <si>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</si>
  <si>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</si>
  <si>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</si>
  <si>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</si>
  <si>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</si>
  <si>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</si>
  <si>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</si>
  <si>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</si>
  <si>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</si>
  <si>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</si>
  <si>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</si>
  <si>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</si>
  <si>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</si>
  <si>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</si>
  <si>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</si>
  <si>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</si>
  <si>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</si>
  <si>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</si>
  <si>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</si>
  <si>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</si>
  <si>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</si>
  <si>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</si>
  <si>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</si>
  <si>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</si>
  <si>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</si>
  <si>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</si>
  <si>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</si>
  <si>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</si>
  <si>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</si>
  <si>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</si>
  <si>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</si>
  <si>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</si>
  <si>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</si>
  <si>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</si>
  <si>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</si>
  <si>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</si>
  <si>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</si>
  <si>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</si>
  <si>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</si>
  <si>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</si>
  <si>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</si>
  <si>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</si>
  <si>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</si>
  <si>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</si>
  <si>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</si>
  <si>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</si>
  <si>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</si>
  <si>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</si>
  <si>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</si>
  <si>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</si>
  <si>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</si>
  <si>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</si>
  <si>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</si>
  <si>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</si>
  <si>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</si>
  <si>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</si>
  <si>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</si>
  <si>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</si>
  <si>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</si>
  <si>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</si>
  <si>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</si>
  <si>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</si>
  <si>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</si>
  <si>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</si>
  <si>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</si>
  <si>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</si>
  <si>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</si>
  <si>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</si>
  <si>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</si>
  <si>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</si>
  <si>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</si>
  <si>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</si>
  <si>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</si>
  <si>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</si>
  <si>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</si>
  <si>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</si>
  <si>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</si>
  <si>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</si>
  <si>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</si>
  <si>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</si>
  <si>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</si>
  <si>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</si>
  <si>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</si>
  <si>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</si>
  <si>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</si>
  <si>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</si>
  <si>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</si>
  <si>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</si>
  <si>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</si>
  <si>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</si>
  <si>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</si>
  <si>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</si>
  <si>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</si>
  <si>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</si>
  <si>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</si>
  <si>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</si>
  <si>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</si>
  <si>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</si>
  <si>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</si>
  <si>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</si>
  <si>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</si>
  <si>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</si>
  <si>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</si>
  <si>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</si>
  <si>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</si>
  <si>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</si>
  <si>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</si>
  <si>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</si>
  <si>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</si>
  <si>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</si>
  <si>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</si>
  <si>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</si>
  <si>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</si>
  <si>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</si>
  <si>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</si>
  <si>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</si>
  <si>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</si>
  <si>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</si>
  <si>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</si>
  <si>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</si>
  <si>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</si>
  <si>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</si>
  <si>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</si>
  <si>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</si>
  <si>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</si>
  <si>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</si>
  <si>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</si>
  <si>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</si>
  <si>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</si>
  <si>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</si>
  <si>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</si>
  <si>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</si>
  <si>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</si>
  <si>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</si>
  <si>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</si>
  <si>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</si>
  <si>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</si>
  <si>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</si>
  <si>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</si>
  <si>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</si>
  <si>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</si>
  <si>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</si>
  <si>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</si>
  <si>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</si>
  <si>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</si>
  <si>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</si>
  <si>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</si>
  <si>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</si>
  <si>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</si>
  <si>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</si>
  <si>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</si>
  <si>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</si>
  <si>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</si>
  <si>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</si>
  <si>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</si>
  <si>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</si>
  <si>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</si>
  <si>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</si>
  <si>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</si>
  <si>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</si>
  <si>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</si>
  <si>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</si>
  <si>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</si>
  <si>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</si>
  <si>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</si>
  <si>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</si>
  <si>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</si>
  <si>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</si>
  <si>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</si>
  <si>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</si>
  <si>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</si>
  <si>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</si>
  <si>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</si>
  <si>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</si>
  <si>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</si>
  <si>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</si>
  <si>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</si>
  <si>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</si>
  <si>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</si>
  <si>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</si>
  <si>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</si>
  <si>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</si>
  <si>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</si>
  <si>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</si>
  <si>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</si>
  <si>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</si>
  <si>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</si>
  <si>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</si>
  <si>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</si>
  <si>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</si>
  <si>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</si>
  <si>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</si>
  <si>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</si>
  <si>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</si>
  <si>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</si>
  <si>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</si>
  <si>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</si>
  <si>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</si>
  <si>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</si>
  <si>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</si>
  <si>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</si>
  <si>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</si>
  <si>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</si>
  <si>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</si>
  <si>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</si>
  <si>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</si>
  <si>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</si>
  <si>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</si>
  <si>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</si>
  <si>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</si>
  <si>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</si>
  <si>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</si>
  <si>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</si>
  <si>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</si>
  <si>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</si>
  <si>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</si>
  <si>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</si>
  <si>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</si>
  <si>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</si>
  <si>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</si>
  <si>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</si>
  <si>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</si>
  <si>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</si>
  <si>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</si>
  <si>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</si>
  <si>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</si>
  <si>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</si>
  <si>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</si>
  <si>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</si>
  <si>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</si>
  <si>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</si>
  <si>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</si>
  <si>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</si>
  <si>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</si>
  <si>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</si>
  <si>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</si>
  <si>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</si>
  <si>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</si>
  <si>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</si>
  <si>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</si>
  <si>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</si>
  <si>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</si>
  <si>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</si>
  <si>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</si>
  <si>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</si>
  <si>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</si>
  <si>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</si>
  <si>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</si>
  <si>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</si>
  <si>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</si>
  <si>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</si>
  <si>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</si>
  <si>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</si>
  <si>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</si>
  <si>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</si>
  <si>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</si>
  <si>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</si>
  <si>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</si>
  <si>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</si>
  <si>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</si>
  <si>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</si>
  <si>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</si>
  <si>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</si>
  <si>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</si>
  <si>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</si>
  <si>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</si>
  <si>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</si>
  <si>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</si>
  <si>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</si>
  <si>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</si>
  <si>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</si>
  <si>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</si>
  <si>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</si>
  <si>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</si>
  <si>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</si>
  <si>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</si>
  <si>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</si>
  <si>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</si>
  <si>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</si>
  <si>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</si>
  <si>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</si>
  <si>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</si>
  <si>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</si>
  <si>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</si>
  <si>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</si>
  <si>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</si>
  <si>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</si>
  <si>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</si>
  <si>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</si>
  <si>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</si>
  <si>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</si>
  <si>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</si>
  <si>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</si>
  <si>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</si>
  <si>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</si>
  <si>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</si>
  <si>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</si>
  <si>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</si>
  <si>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</si>
  <si>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</si>
  <si>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</si>
  <si>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</si>
  <si>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</si>
  <si>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</si>
  <si>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</si>
  <si>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</si>
  <si>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</si>
  <si>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</si>
  <si>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</si>
  <si>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</si>
  <si>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</si>
  <si>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</si>
  <si>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</si>
  <si>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</si>
  <si>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</si>
  <si>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</si>
  <si>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</si>
  <si>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</si>
  <si>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</si>
  <si>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</si>
  <si>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</si>
  <si>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</si>
  <si>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</si>
  <si>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</si>
  <si>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</si>
  <si>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</si>
  <si>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</si>
  <si>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</si>
  <si>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</si>
  <si>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</si>
  <si>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</si>
  <si>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</si>
  <si>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</si>
  <si>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</si>
  <si>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</si>
  <si>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</si>
  <si>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</si>
  <si>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</si>
  <si>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</si>
  <si>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</si>
  <si>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</si>
  <si>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</si>
  <si>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</si>
  <si>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</si>
  <si>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</si>
  <si>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</si>
  <si>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</si>
  <si>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</si>
  <si>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</si>
  <si>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</si>
  <si>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</si>
  <si>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</si>
  <si>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</si>
  <si>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</si>
  <si>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</si>
  <si>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</si>
  <si>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</si>
  <si>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</si>
  <si>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</si>
  <si>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</si>
  <si>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</si>
  <si>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</si>
  <si>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</si>
  <si>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</si>
  <si>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</si>
  <si>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</si>
  <si>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</si>
  <si>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</si>
  <si>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</si>
  <si>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</si>
  <si>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</si>
  <si>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</si>
  <si>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</si>
  <si>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</si>
  <si>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</si>
  <si>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</si>
  <si>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</si>
  <si>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</si>
  <si>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</si>
  <si>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</si>
  <si>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</si>
  <si>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</si>
  <si>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</si>
  <si>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</si>
  <si>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</si>
  <si>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</si>
  <si>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</si>
  <si>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</si>
  <si>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</si>
  <si>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</si>
  <si>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</si>
  <si>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</si>
  <si>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</si>
  <si>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</si>
  <si>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</si>
  <si>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</si>
  <si>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</si>
  <si>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</si>
  <si>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</si>
  <si>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</si>
  <si>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</si>
  <si>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</si>
  <si>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</si>
  <si>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</si>
  <si>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</si>
  <si>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</si>
  <si>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</si>
  <si>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</si>
  <si>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</si>
  <si>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</si>
  <si>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</si>
  <si>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</si>
  <si>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</si>
  <si>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</si>
  <si>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</si>
  <si>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</si>
  <si>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</si>
  <si>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</si>
  <si>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</si>
  <si>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</si>
  <si>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</si>
  <si>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</si>
  <si>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</si>
  <si>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</si>
  <si>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</si>
  <si>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</si>
  <si>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</si>
  <si>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</si>
  <si>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</si>
  <si>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</si>
  <si>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</si>
  <si>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</si>
  <si>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</si>
  <si>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</si>
  <si>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</si>
  <si>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</si>
  <si>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</si>
  <si>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</si>
  <si>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</si>
  <si>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</si>
  <si>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</si>
  <si>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</si>
  <si>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</si>
  <si>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</si>
  <si>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</si>
  <si>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</si>
  <si>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</si>
  <si>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</si>
  <si>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</si>
  <si>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</si>
  <si>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</si>
  <si>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</si>
  <si>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</si>
  <si>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</si>
  <si>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</si>
  <si>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</si>
  <si>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</si>
  <si>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</si>
  <si>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</si>
  <si>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</si>
  <si>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</si>
  <si>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</si>
  <si>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</si>
  <si>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</si>
  <si>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</si>
  <si>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</si>
  <si>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</si>
  <si>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</si>
  <si>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</si>
  <si>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</si>
  <si>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</si>
  <si>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</si>
  <si>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</si>
  <si>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</si>
  <si>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</si>
  <si>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</si>
  <si>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</si>
  <si>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</si>
  <si>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</si>
  <si>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</si>
  <si>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</si>
  <si>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</si>
  <si>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</si>
  <si>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</si>
  <si>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</si>
  <si>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</si>
  <si>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</si>
  <si>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</si>
  <si>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</si>
  <si>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</si>
  <si>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</si>
  <si>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</si>
  <si>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</si>
  <si>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</si>
  <si>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</si>
  <si>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</si>
  <si>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</si>
  <si>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</si>
  <si>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</si>
  <si>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</si>
  <si>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</si>
  <si>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</si>
  <si>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</si>
  <si>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</si>
  <si>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</si>
  <si>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</si>
  <si>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</si>
  <si>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</si>
  <si>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</si>
  <si>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</si>
  <si>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</si>
  <si>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</si>
  <si>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</si>
  <si>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</si>
  <si>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</si>
  <si>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</si>
  <si>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</si>
  <si>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</si>
  <si>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</si>
  <si>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</si>
  <si>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</si>
  <si>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</si>
  <si>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</si>
  <si>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</si>
  <si>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</si>
  <si>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</si>
  <si>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</si>
  <si>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</si>
  <si>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</si>
  <si>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</si>
  <si>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</si>
  <si>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</si>
  <si>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</si>
  <si>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</si>
  <si>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</si>
  <si>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</si>
  <si>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</si>
  <si>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</si>
  <si>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</si>
  <si>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</si>
  <si>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</si>
  <si>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</si>
  <si>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</si>
  <si>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</si>
  <si>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</si>
  <si>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</si>
  <si>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</si>
  <si>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</si>
  <si>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</si>
  <si>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</si>
  <si>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</si>
  <si>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</si>
  <si>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</si>
  <si>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</si>
  <si>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</si>
  <si>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</si>
  <si>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</si>
  <si>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</si>
  <si>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</si>
  <si>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</si>
  <si>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</si>
  <si>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</si>
  <si>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</si>
  <si>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</si>
  <si>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</si>
  <si>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</si>
  <si>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</si>
  <si>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</si>
  <si>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</si>
  <si>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</si>
  <si>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</si>
  <si>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</si>
  <si>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</si>
  <si>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</si>
  <si>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</si>
  <si>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</si>
  <si>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</si>
  <si>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</si>
  <si>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</si>
  <si>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</si>
  <si>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</si>
  <si>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</si>
  <si>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</si>
  <si>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</si>
  <si>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</si>
  <si>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</si>
  <si>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</si>
  <si>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</si>
  <si>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</si>
  <si>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</si>
  <si>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</si>
  <si>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</si>
  <si>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</si>
  <si>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</si>
  <si>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</si>
  <si>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</si>
  <si>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</si>
  <si>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</si>
  <si>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</si>
  <si>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</si>
  <si>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</si>
  <si>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</si>
  <si>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</si>
  <si>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</si>
  <si>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</si>
  <si>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</si>
  <si>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</si>
  <si>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</si>
  <si>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</si>
  <si>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</si>
  <si>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</si>
  <si>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</si>
  <si>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</si>
  <si>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</si>
  <si>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</si>
  <si>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</si>
  <si>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</si>
  <si>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</si>
  <si>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</si>
  <si>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</si>
  <si>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</si>
  <si>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</si>
  <si>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</si>
  <si>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</si>
  <si>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</si>
  <si>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</si>
  <si>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</si>
  <si>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</si>
  <si>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</si>
  <si>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</si>
  <si>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</si>
  <si>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</si>
  <si>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</si>
  <si>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</si>
  <si>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</si>
  <si>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</si>
  <si>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</si>
  <si>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</si>
  <si>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</si>
  <si>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</si>
  <si>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</si>
  <si>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</si>
  <si>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</si>
  <si>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</si>
  <si>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</si>
  <si>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</si>
  <si>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</si>
  <si>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</si>
  <si>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</si>
  <si>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</si>
  <si>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</si>
  <si>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</si>
  <si>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</si>
  <si>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</si>
  <si>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</si>
  <si>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</si>
  <si>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</si>
  <si>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</si>
  <si>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</si>
  <si>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</si>
  <si>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</si>
  <si>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</si>
  <si>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</si>
  <si>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</si>
  <si>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</si>
  <si>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</si>
  <si>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</si>
  <si>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</si>
  <si>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</si>
  <si>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</si>
  <si>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</si>
  <si>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</si>
  <si>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</si>
  <si>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</si>
  <si>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</si>
  <si>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</si>
  <si>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</si>
  <si>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</si>
  <si>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</si>
  <si>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</si>
  <si>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</si>
  <si>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</si>
  <si>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</si>
  <si>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</si>
  <si>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</si>
  <si>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</si>
  <si>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</si>
  <si>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</si>
  <si>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</si>
  <si>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</si>
  <si>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</si>
  <si>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</si>
  <si>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</si>
  <si>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</si>
  <si>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</si>
  <si>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</si>
  <si>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</si>
  <si>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</si>
  <si>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</si>
  <si>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</si>
  <si>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</si>
  <si>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</si>
  <si>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</si>
  <si>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</si>
  <si>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</si>
  <si>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</si>
  <si>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</si>
  <si>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</si>
  <si>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</si>
  <si>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</si>
  <si>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</si>
  <si>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</si>
  <si>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</si>
  <si>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</si>
  <si>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</si>
  <si>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</si>
  <si>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</si>
  <si>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</si>
  <si>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</si>
  <si>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</si>
  <si>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</si>
  <si>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</si>
  <si>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</si>
  <si>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</si>
  <si>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</si>
  <si>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</si>
  <si>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</si>
  <si>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</si>
  <si>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</si>
  <si>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</si>
  <si>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</si>
  <si>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</si>
  <si>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</si>
  <si>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</si>
  <si>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</si>
  <si>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</si>
  <si>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</si>
  <si>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</si>
  <si>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</si>
  <si>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</si>
  <si>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</si>
  <si>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</si>
  <si>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</si>
  <si>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</si>
  <si>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</si>
  <si>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</si>
  <si>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</si>
  <si>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</si>
  <si>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</si>
  <si>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</si>
  <si>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</si>
  <si>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</si>
  <si>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</si>
  <si>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</si>
  <si>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</si>
  <si>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</si>
  <si>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</si>
  <si>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</si>
  <si>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</si>
  <si>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</si>
  <si>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</si>
  <si>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</si>
  <si>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</si>
  <si>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</si>
  <si>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</si>
  <si>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</si>
  <si>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</si>
  <si>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</si>
  <si>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</si>
  <si>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</si>
  <si>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</si>
  <si>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</si>
  <si>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</si>
  <si>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</si>
  <si>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</si>
  <si>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</si>
  <si>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</si>
  <si>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</si>
  <si>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</si>
  <si>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</si>
  <si>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</si>
  <si>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</si>
  <si>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</si>
  <si>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</si>
  <si>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</si>
  <si>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</si>
  <si>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</si>
  <si>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</si>
  <si>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</si>
  <si>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</si>
  <si>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</si>
  <si>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</si>
  <si>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</si>
  <si>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</si>
  <si>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</si>
  <si>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</si>
  <si>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</si>
  <si>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</si>
  <si>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</si>
  <si>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</si>
  <si>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</si>
  <si>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</si>
  <si>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</si>
  <si>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</si>
  <si>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</si>
  <si>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</si>
  <si>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</si>
  <si>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</si>
  <si>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</si>
  <si>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</si>
  <si>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</si>
  <si>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</si>
  <si>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</si>
  <si>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</si>
  <si>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</si>
  <si>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</si>
  <si>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</si>
  <si>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</si>
  <si>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</si>
  <si>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</si>
  <si>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</si>
  <si>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</si>
  <si>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</si>
  <si>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</si>
  <si>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</si>
  <si>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</si>
  <si>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</si>
  <si>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</si>
  <si>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</si>
  <si>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</si>
  <si>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</si>
  <si>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</si>
  <si>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</si>
  <si>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</si>
  <si>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</si>
  <si>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</si>
  <si>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</si>
  <si>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</si>
  <si>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</si>
  <si>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</si>
  <si>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</si>
  <si>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</si>
  <si>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</si>
  <si>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</si>
  <si>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</si>
  <si>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</si>
  <si>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</si>
  <si>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</si>
  <si>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</si>
  <si>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</si>
  <si>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</si>
  <si>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</si>
  <si>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</si>
  <si>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</si>
  <si>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</si>
  <si>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</si>
  <si>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</si>
  <si>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</si>
  <si>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</si>
  <si>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</si>
  <si>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</si>
  <si>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</si>
  <si>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</si>
  <si>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</si>
  <si>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</si>
  <si>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</si>
  <si>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</si>
  <si>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</si>
  <si>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</si>
  <si>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</si>
  <si>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</si>
  <si>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</si>
  <si>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</si>
  <si>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</si>
  <si>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</si>
  <si>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</si>
  <si>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</si>
  <si>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</si>
  <si>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</si>
  <si>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</si>
  <si>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</si>
  <si>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</si>
  <si>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</si>
  <si>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</si>
  <si>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</si>
  <si>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</si>
  <si>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</si>
  <si>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</si>
  <si>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</si>
  <si>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</si>
  <si>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</si>
  <si>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</si>
  <si>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</si>
  <si>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</si>
  <si>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</si>
  <si>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</si>
  <si>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</si>
  <si>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</si>
  <si>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</si>
  <si>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</si>
  <si>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</si>
  <si>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</si>
  <si>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</si>
  <si>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</si>
  <si>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</si>
  <si>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</si>
  <si>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</si>
  <si>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</si>
  <si>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</si>
  <si>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</si>
  <si>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</si>
  <si>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</si>
  <si>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</si>
  <si>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</si>
  <si>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</si>
  <si>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</si>
  <si>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</si>
  <si>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</si>
  <si>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</si>
  <si>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</si>
  <si>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</si>
  <si>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</si>
  <si>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</si>
  <si>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</si>
  <si>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</si>
  <si>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</si>
  <si>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</si>
  <si>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</si>
  <si>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</si>
  <si>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</si>
  <si>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</si>
  <si>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</si>
  <si>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</si>
  <si>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</si>
  <si>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</si>
  <si>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</si>
  <si>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</si>
  <si>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</si>
  <si>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</si>
  <si>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</si>
  <si>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</si>
  <si>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</si>
  <si>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</si>
  <si>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</si>
  <si>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</si>
  <si>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</si>
  <si>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</si>
  <si>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</si>
  <si>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</si>
  <si>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</si>
  <si>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</si>
  <si>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</si>
  <si>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</si>
  <si>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</si>
  <si>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</si>
  <si>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</si>
  <si>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</si>
  <si>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</si>
  <si>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</si>
  <si>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</si>
  <si>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</si>
  <si>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</si>
  <si>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</si>
  <si>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</si>
  <si>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</si>
  <si>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</si>
  <si>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</si>
  <si>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</si>
  <si>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</si>
  <si>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</si>
  <si>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</si>
  <si>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</si>
  <si>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</si>
  <si>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</si>
  <si>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</si>
  <si>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</si>
  <si>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</si>
  <si>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</si>
  <si>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</si>
  <si>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</si>
  <si>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</si>
  <si>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</si>
  <si>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</si>
  <si>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</si>
  <si>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</si>
  <si>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</si>
  <si>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</si>
  <si>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</si>
  <si>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</si>
  <si>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</si>
  <si>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</si>
  <si>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</si>
  <si>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</si>
  <si>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</si>
  <si>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</si>
  <si>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</si>
  <si>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</si>
  <si>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</si>
  <si>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</si>
  <si>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</si>
  <si>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</si>
  <si>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</si>
  <si>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</si>
  <si>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</si>
  <si>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</si>
  <si>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</si>
  <si>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</si>
  <si>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</si>
  <si>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</si>
  <si>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</si>
  <si>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</si>
  <si>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</si>
  <si>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</si>
  <si>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</si>
  <si>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</si>
  <si>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</si>
  <si>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</si>
  <si>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</si>
  <si>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</si>
  <si>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</si>
  <si>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</si>
  <si>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</si>
  <si>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</si>
  <si>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</si>
  <si>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</si>
  <si>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</si>
  <si>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</si>
  <si>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</si>
  <si>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</si>
  <si>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</si>
  <si>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</si>
  <si>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</si>
  <si>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</si>
  <si>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</si>
  <si>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</si>
  <si>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</si>
  <si>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</si>
  <si>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</si>
  <si>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</si>
  <si>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</si>
  <si>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</si>
  <si>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</si>
  <si>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</si>
  <si>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</si>
  <si>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</si>
  <si>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</si>
  <si>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</si>
  <si>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</si>
  <si>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</si>
  <si>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</si>
  <si>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</si>
  <si>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</si>
  <si>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</si>
  <si>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</si>
  <si>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</si>
  <si>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</si>
  <si>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</si>
  <si>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</si>
  <si>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</si>
  <si>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</si>
  <si>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</si>
  <si>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</si>
  <si>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</si>
  <si>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</si>
  <si>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</si>
  <si>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</si>
  <si>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</si>
  <si>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</si>
  <si>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</si>
  <si>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</si>
  <si>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</si>
  <si>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</si>
  <si>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</si>
  <si>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</si>
  <si>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</si>
  <si>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</si>
  <si>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</si>
  <si>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</si>
  <si>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</si>
  <si>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</si>
  <si>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</si>
  <si>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</si>
  <si>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</si>
  <si>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</si>
  <si>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</si>
  <si>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</si>
  <si>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</si>
  <si>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</si>
  <si>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</si>
  <si>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</si>
  <si>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</si>
  <si>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</si>
  <si>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</si>
  <si>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</si>
  <si>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</si>
  <si>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</si>
  <si>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</si>
  <si>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</si>
  <si>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</si>
  <si>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</si>
  <si>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</si>
  <si>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</si>
  <si>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</si>
  <si>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</si>
  <si>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</si>
  <si>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</si>
  <si>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</si>
  <si>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</si>
  <si>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</si>
  <si>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</si>
  <si>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</si>
  <si>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</si>
  <si>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</si>
  <si>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</si>
  <si>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</si>
  <si>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</si>
  <si>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</si>
  <si>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</si>
  <si>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</si>
  <si>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</si>
  <si>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</si>
  <si>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</si>
  <si>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</si>
  <si>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</si>
  <si>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</si>
  <si>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</si>
  <si>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</si>
  <si>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</si>
  <si>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</si>
  <si>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</si>
  <si>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</si>
  <si>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</si>
  <si>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</si>
  <si>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</si>
  <si>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</si>
  <si>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</si>
  <si>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</si>
  <si>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</si>
  <si>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</si>
  <si>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</si>
  <si>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</si>
  <si>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</si>
  <si>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</si>
  <si>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</si>
  <si>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</si>
  <si>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</si>
  <si>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</si>
  <si>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</si>
  <si>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</si>
  <si>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</si>
  <si>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</si>
  <si>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</si>
  <si>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</si>
  <si>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</si>
  <si>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</si>
  <si>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</si>
  <si>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</si>
  <si>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</si>
  <si>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</si>
  <si>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</si>
  <si>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</si>
  <si>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</si>
  <si>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</si>
  <si>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</si>
  <si>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</si>
  <si>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</si>
  <si>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</si>
  <si>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</si>
  <si>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</si>
  <si>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</si>
  <si>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</si>
  <si>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</si>
  <si>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</si>
  <si>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</si>
  <si>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</si>
  <si>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</si>
  <si>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</si>
  <si>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</si>
  <si>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</si>
  <si>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</si>
  <si>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</si>
  <si>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</si>
  <si>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</si>
  <si>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</si>
  <si>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</si>
  <si>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</si>
  <si>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</si>
  <si>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</si>
  <si>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</si>
  <si>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</si>
  <si>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</si>
  <si>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</si>
  <si>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</si>
  <si>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</si>
  <si>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</si>
  <si>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</si>
  <si>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</si>
  <si>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</si>
  <si>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</si>
  <si>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</si>
  <si>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</si>
  <si>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</si>
  <si>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</si>
  <si>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</si>
  <si>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</si>
  <si>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</si>
  <si>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</si>
  <si>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</si>
  <si>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</si>
  <si>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</si>
  <si>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</si>
  <si>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</si>
  <si>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</si>
  <si>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</si>
  <si>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</si>
  <si>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</si>
  <si>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</si>
  <si>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</si>
  <si>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</si>
  <si>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</si>
  <si>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</si>
  <si>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</si>
  <si>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</si>
  <si>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</si>
  <si>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</si>
  <si>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</si>
  <si>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</si>
  <si>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</si>
  <si>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</si>
  <si>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</si>
  <si>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</si>
  <si>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</si>
  <si>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</si>
  <si>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</si>
  <si>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</si>
  <si>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</si>
  <si>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</si>
  <si>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</si>
  <si>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</si>
  <si>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</si>
  <si>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</si>
  <si>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</si>
  <si>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</si>
  <si>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</si>
  <si>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</si>
  <si>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</si>
  <si>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</si>
  <si>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</si>
  <si>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</si>
  <si>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</si>
  <si>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</si>
  <si>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</si>
  <si>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</si>
  <si>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</si>
  <si>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</si>
  <si>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</si>
  <si>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</si>
  <si>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</si>
  <si>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</si>
  <si>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</si>
  <si>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</si>
  <si>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</si>
  <si>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</si>
  <si>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</si>
  <si>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</si>
  <si>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</si>
  <si>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</si>
  <si>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</si>
  <si>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</si>
  <si>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</si>
  <si>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</si>
  <si>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</si>
  <si>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</si>
  <si>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</si>
  <si>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</si>
  <si>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</si>
  <si>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</si>
  <si>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</si>
  <si>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</si>
  <si>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</si>
  <si>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</si>
  <si>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</si>
  <si>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</si>
  <si>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</si>
  <si>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</si>
  <si>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</si>
  <si>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</si>
  <si>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</si>
  <si>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</si>
  <si>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</si>
  <si>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</si>
  <si>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</si>
  <si>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</si>
  <si>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</si>
  <si>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</si>
  <si>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</si>
  <si>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</si>
  <si>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</si>
  <si>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</si>
  <si>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</si>
  <si>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</si>
  <si>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</si>
  <si>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</si>
  <si>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</si>
  <si>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</si>
  <si>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</si>
  <si>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</si>
  <si>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</si>
  <si>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</si>
  <si>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</si>
  <si>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</si>
  <si>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</si>
  <si>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</si>
  <si>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</si>
  <si>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</si>
  <si>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</si>
  <si>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</si>
  <si>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</si>
  <si>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</si>
  <si>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</si>
  <si>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</si>
  <si>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</si>
  <si>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</si>
  <si>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</si>
  <si>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</si>
  <si>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</si>
  <si>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</si>
  <si>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</si>
  <si>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</si>
  <si>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</si>
  <si>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</si>
  <si>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</si>
  <si>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</si>
  <si>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</si>
  <si>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</si>
  <si>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</si>
  <si>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</si>
  <si>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</si>
  <si>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</si>
  <si>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</si>
  <si>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</si>
  <si>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</si>
  <si>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</si>
  <si>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</si>
  <si>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</si>
  <si>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</si>
  <si>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</si>
  <si>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</si>
  <si>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</si>
  <si>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</si>
  <si>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</si>
  <si>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</si>
  <si>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</si>
  <si>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</si>
  <si>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</si>
  <si>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</si>
  <si>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</si>
  <si>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</si>
  <si>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</si>
  <si>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</si>
  <si>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</si>
  <si>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</si>
  <si>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</si>
  <si>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</si>
  <si>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</si>
  <si>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</si>
  <si>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</si>
  <si>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</si>
  <si>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</si>
  <si>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</si>
  <si>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</si>
  <si>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</si>
  <si>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</si>
  <si>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</si>
  <si>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</si>
  <si>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</si>
  <si>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</si>
  <si>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</si>
  <si>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</si>
  <si>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</si>
  <si>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</si>
  <si>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</si>
  <si>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</si>
  <si>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</si>
  <si>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</si>
  <si>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</si>
  <si>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</si>
  <si>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</si>
  <si>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</si>
  <si>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</si>
  <si>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</si>
  <si>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</si>
  <si>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</si>
  <si>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</si>
  <si>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</si>
  <si>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</si>
  <si>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</si>
  <si>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</si>
  <si>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</si>
  <si>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</si>
  <si>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</si>
  <si>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</si>
  <si>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</si>
  <si>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</si>
  <si>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</si>
  <si>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</si>
  <si>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</si>
  <si>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</si>
  <si>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</si>
  <si>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</si>
  <si>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</si>
  <si>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</si>
  <si>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</si>
  <si>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</si>
  <si>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</si>
  <si>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</si>
  <si>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</si>
  <si>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</si>
  <si>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</si>
  <si>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</si>
  <si>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</si>
  <si>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</si>
  <si>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</si>
  <si>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</si>
  <si>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</si>
  <si>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</si>
  <si>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</si>
  <si>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</si>
  <si>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</si>
  <si>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</si>
  <si>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</si>
  <si>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</si>
  <si>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</si>
  <si>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</si>
  <si>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</si>
  <si>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</si>
  <si>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</si>
  <si>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</si>
  <si>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</si>
  <si>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</si>
  <si>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</si>
  <si>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</si>
  <si>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</si>
  <si>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</si>
  <si>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</si>
  <si>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</si>
  <si>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</si>
  <si>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</si>
  <si>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</si>
  <si>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</si>
  <si>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</si>
  <si>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</si>
  <si>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</si>
  <si>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</si>
  <si>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</si>
  <si>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</si>
  <si>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</si>
  <si>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</si>
  <si>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</si>
  <si>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</si>
  <si>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</si>
  <si>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</si>
  <si>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</si>
  <si>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</si>
  <si>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</si>
  <si>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</si>
  <si>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</si>
  <si>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</si>
  <si>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</si>
  <si>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</si>
  <si>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</si>
  <si>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</si>
  <si>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</si>
  <si>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</si>
  <si>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</si>
  <si>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</si>
  <si>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</si>
  <si>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</si>
  <si>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</si>
  <si>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</si>
  <si>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</si>
  <si>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</si>
  <si>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</si>
  <si>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</si>
  <si>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</si>
  <si>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</si>
  <si>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</si>
  <si>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</si>
  <si>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</si>
  <si>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</si>
  <si>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</si>
  <si>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</si>
  <si>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</si>
  <si>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</si>
  <si>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</si>
  <si>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</si>
  <si>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</si>
  <si>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</si>
  <si>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</si>
  <si>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</si>
  <si>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</si>
  <si>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</si>
  <si>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</si>
  <si>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</si>
  <si>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</si>
  <si>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</si>
  <si>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</si>
  <si>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</si>
  <si>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</si>
  <si>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</si>
  <si>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</si>
  <si>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</si>
  <si>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</si>
  <si>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</si>
  <si>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</si>
  <si>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</si>
  <si>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</si>
  <si>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</si>
  <si>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</si>
  <si>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</si>
  <si>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</si>
  <si>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</si>
  <si>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</si>
  <si>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</si>
  <si>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</si>
  <si>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</si>
  <si>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</si>
  <si>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</si>
  <si>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</si>
  <si>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</si>
  <si>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</si>
  <si>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</si>
  <si>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</si>
  <si>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</si>
  <si>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</si>
  <si>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</si>
  <si>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</si>
  <si>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</si>
  <si>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</si>
  <si>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</si>
  <si>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</si>
  <si>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</si>
  <si>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</si>
  <si>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</si>
  <si>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</si>
  <si>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</si>
  <si>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</si>
  <si>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</si>
  <si>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</si>
  <si>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</si>
  <si>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</si>
  <si>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</si>
  <si>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</si>
  <si>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</si>
  <si>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</si>
  <si>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</si>
  <si>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</si>
  <si>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</si>
  <si>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</si>
  <si>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</si>
  <si>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</si>
  <si>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</si>
  <si>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</si>
  <si>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</si>
  <si>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</si>
  <si>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</si>
  <si>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</si>
  <si>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</si>
  <si>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</si>
  <si>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</si>
  <si>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</si>
  <si>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</si>
  <si>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</si>
  <si>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</si>
  <si>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</si>
  <si>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</si>
  <si>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</si>
  <si>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</si>
  <si>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</si>
  <si>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</si>
  <si>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</si>
  <si>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</si>
  <si>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</si>
  <si>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</si>
  <si>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</si>
  <si>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</si>
  <si>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</si>
  <si>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</si>
  <si>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</si>
  <si>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</si>
  <si>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</si>
  <si>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</si>
  <si>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</si>
  <si>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</si>
  <si>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</si>
  <si>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</si>
  <si>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</si>
  <si>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</si>
  <si>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</si>
  <si>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</si>
  <si>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</si>
  <si>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</si>
  <si>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</si>
  <si>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</si>
  <si>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</si>
  <si>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</si>
  <si>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</si>
  <si>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</si>
  <si>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</si>
  <si>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</si>
  <si>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</si>
  <si>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</si>
  <si>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</si>
  <si>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</si>
  <si>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</si>
  <si>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</si>
  <si>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</si>
  <si>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</si>
  <si>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</si>
  <si>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</si>
  <si>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</si>
  <si>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</si>
  <si>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</si>
  <si>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</si>
  <si>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</si>
  <si>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</si>
  <si>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</si>
  <si>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</si>
  <si>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</si>
  <si>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</si>
  <si>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</si>
  <si>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</si>
  <si>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</si>
  <si>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</si>
  <si>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</si>
  <si>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</si>
  <si>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</si>
  <si>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</si>
  <si>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</si>
  <si>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</si>
  <si>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</si>
  <si>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</si>
  <si>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</si>
  <si>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</si>
  <si>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</si>
  <si>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</si>
  <si>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</si>
  <si>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</si>
  <si>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</si>
  <si>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</si>
  <si>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</si>
  <si>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</si>
  <si>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</si>
  <si>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</si>
  <si>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</si>
  <si>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</si>
  <si>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</si>
  <si>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</si>
  <si>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</si>
  <si>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</si>
  <si>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</si>
  <si>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</si>
  <si>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</si>
  <si>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</si>
  <si>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</si>
  <si>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</si>
  <si>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</si>
  <si>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</si>
  <si>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</si>
  <si>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</si>
  <si>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</si>
  <si>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</si>
  <si>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</si>
  <si>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</si>
  <si>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</si>
  <si>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</si>
  <si>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</si>
  <si>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</si>
  <si>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</si>
  <si>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</si>
  <si>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</si>
  <si>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</si>
  <si>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</si>
  <si>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</si>
  <si>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</si>
  <si>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</si>
  <si>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</si>
  <si>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</si>
  <si>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</si>
  <si>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</si>
  <si>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</si>
  <si>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</si>
  <si>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</si>
  <si>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</si>
  <si>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</si>
  <si>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</si>
  <si>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</si>
  <si>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</si>
  <si>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</si>
  <si>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</si>
  <si>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</si>
  <si>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</si>
  <si>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</si>
  <si>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</si>
  <si>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</si>
  <si>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</si>
  <si>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</si>
  <si>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</si>
  <si>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</si>
  <si>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</si>
  <si>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</si>
  <si>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</si>
  <si>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</si>
  <si>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</si>
  <si>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</si>
  <si>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</si>
  <si>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</si>
  <si>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</si>
  <si>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</si>
  <si>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</si>
  <si>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</si>
  <si>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</si>
  <si>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</si>
  <si>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</si>
  <si>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</si>
  <si>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</si>
  <si>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</si>
  <si>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</si>
  <si>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</si>
  <si>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</si>
  <si>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</si>
  <si>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</si>
  <si>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</si>
  <si>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</si>
  <si>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</si>
  <si>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</si>
  <si>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</si>
  <si>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</si>
  <si>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</si>
  <si>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</si>
  <si>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</si>
  <si>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</si>
  <si>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</si>
  <si>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</si>
  <si>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</si>
  <si>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</si>
  <si>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</si>
  <si>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</si>
  <si>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</si>
  <si>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</si>
  <si>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</si>
  <si>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</si>
  <si>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</si>
  <si>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</si>
  <si>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</si>
  <si>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</si>
  <si>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</si>
  <si>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</si>
  <si>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</si>
  <si>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</si>
  <si>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</si>
  <si>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</si>
  <si>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</si>
  <si>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</si>
  <si>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</si>
  <si>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</si>
  <si>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</si>
  <si>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</si>
  <si>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</si>
  <si>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</si>
  <si>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</si>
  <si>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</si>
  <si>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</si>
  <si>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</si>
  <si>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</si>
  <si>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</si>
  <si>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</si>
  <si>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</si>
  <si>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</si>
  <si>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</si>
  <si>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</si>
  <si>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</si>
  <si>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</si>
  <si>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</si>
  <si>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</si>
  <si>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</si>
  <si>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</si>
  <si>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</si>
  <si>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</si>
  <si>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</si>
  <si>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</si>
  <si>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</si>
  <si>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</si>
  <si>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</si>
  <si>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</si>
  <si>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</si>
  <si>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</si>
  <si>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</si>
  <si>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</si>
  <si>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</si>
  <si>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</si>
  <si>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</si>
  <si>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</si>
  <si>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</si>
  <si>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</si>
  <si>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</si>
  <si>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</si>
  <si>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</si>
  <si>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</si>
  <si>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</si>
  <si>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</si>
  <si>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</si>
  <si>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</si>
  <si>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</si>
  <si>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</si>
  <si>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</si>
  <si>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</si>
  <si>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</si>
  <si>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</si>
  <si>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</si>
  <si>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</si>
  <si>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</si>
  <si>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</si>
  <si>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</si>
  <si>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</si>
  <si>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</si>
  <si>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</si>
  <si>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</si>
  <si>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</si>
  <si>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</si>
  <si>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</si>
  <si>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</si>
  <si>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</si>
  <si>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</si>
  <si>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</si>
  <si>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</si>
  <si>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</si>
  <si>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</si>
  <si>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</si>
  <si>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</si>
  <si>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</si>
  <si>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</si>
  <si>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</si>
  <si>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</si>
  <si>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</si>
  <si>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</si>
  <si>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</si>
  <si>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</si>
  <si>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</si>
  <si>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</si>
  <si>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</si>
  <si>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</si>
  <si>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</si>
  <si>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</si>
  <si>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</si>
  <si>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</si>
  <si>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</si>
  <si>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</si>
  <si>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</si>
  <si>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</si>
  <si>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</si>
  <si>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</si>
  <si>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</si>
  <si>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</si>
  <si>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</si>
  <si>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</si>
  <si>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</si>
  <si>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</si>
  <si>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</si>
  <si>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</si>
  <si>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</si>
  <si>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</si>
  <si>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</si>
  <si>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</si>
  <si>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</si>
  <si>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</si>
  <si>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</si>
  <si>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</si>
  <si>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</si>
  <si>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</si>
  <si>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</si>
  <si>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</si>
  <si>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</si>
  <si>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</si>
  <si>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</si>
  <si>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</si>
  <si>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</si>
  <si>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</si>
  <si>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</si>
  <si>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</si>
  <si>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</si>
  <si>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</si>
  <si>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</si>
  <si>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</si>
  <si>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</si>
  <si>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</si>
  <si>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</si>
  <si>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</si>
  <si>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</si>
  <si>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</si>
  <si>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</si>
  <si>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</si>
  <si>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</si>
  <si>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</si>
  <si>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</si>
  <si>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</si>
  <si>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</si>
  <si>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</si>
  <si>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</si>
  <si>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</si>
  <si>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</si>
  <si>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</si>
  <si>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</si>
  <si>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</si>
  <si>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</si>
  <si>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</si>
  <si>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</si>
  <si>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</si>
  <si>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</si>
  <si>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</si>
  <si>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</si>
  <si>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</si>
  <si>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</si>
  <si>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</si>
  <si>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</si>
  <si>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</si>
  <si>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</si>
  <si>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</si>
  <si>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</si>
  <si>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</si>
  <si>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</si>
  <si>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</si>
  <si>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</si>
  <si>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</si>
  <si>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</si>
  <si>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</si>
  <si>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</si>
  <si>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</si>
  <si>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</si>
  <si>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</si>
  <si>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</si>
  <si>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</si>
  <si>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</si>
  <si>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</si>
  <si>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</si>
  <si>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</si>
  <si>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</si>
  <si>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</si>
  <si>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</si>
  <si>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</si>
  <si>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</si>
  <si>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</si>
  <si>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</si>
  <si>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</si>
  <si>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</si>
  <si>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</si>
  <si>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</si>
  <si>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</si>
  <si>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</si>
  <si>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</si>
  <si>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</si>
  <si>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</si>
  <si>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</si>
  <si>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</si>
  <si>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</si>
  <si>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</si>
  <si>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</si>
  <si>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</si>
  <si>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</si>
  <si>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</si>
  <si>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</si>
  <si>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</si>
  <si>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</si>
  <si>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</si>
  <si>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</si>
  <si>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</si>
  <si>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</si>
  <si>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</si>
  <si>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</si>
  <si>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</si>
  <si>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</si>
  <si>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</si>
  <si>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</si>
  <si>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</si>
  <si>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</si>
  <si>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</si>
  <si>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</si>
  <si>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</si>
  <si>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</si>
  <si>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</si>
  <si>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</si>
  <si>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</si>
  <si>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</si>
  <si>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</si>
  <si>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</si>
  <si>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</si>
  <si>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</si>
  <si>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</si>
  <si>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</si>
  <si>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</si>
  <si>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</si>
  <si>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</si>
  <si>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</si>
  <si>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</si>
  <si>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</si>
  <si>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</si>
  <si>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</si>
  <si>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</si>
  <si>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</si>
  <si>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</si>
  <si>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</si>
  <si>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</si>
  <si>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</si>
  <si>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</si>
  <si>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</si>
  <si>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</si>
  <si>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</si>
  <si>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</si>
  <si>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</si>
  <si>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</si>
  <si>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</si>
  <si>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</si>
  <si>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</si>
  <si>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</si>
  <si>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</si>
  <si>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</si>
  <si>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</si>
  <si>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</si>
  <si>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</si>
  <si>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</si>
  <si>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</si>
  <si>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</si>
  <si>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</si>
  <si>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</si>
  <si>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</si>
  <si>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</si>
  <si>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</si>
  <si>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</si>
  <si>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</si>
  <si>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</si>
  <si>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</si>
  <si>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</si>
  <si>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</si>
  <si>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</si>
  <si>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</si>
  <si>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</si>
  <si>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</si>
  <si>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</si>
  <si>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</si>
  <si>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</si>
  <si>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</si>
  <si>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</si>
  <si>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</si>
  <si>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</si>
  <si>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</si>
  <si>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</si>
  <si>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</si>
  <si>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</si>
  <si>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</si>
  <si>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</si>
  <si>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</si>
  <si>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</si>
  <si>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</si>
  <si>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</si>
  <si>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</si>
  <si>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</si>
  <si>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</si>
  <si>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</si>
  <si>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</si>
  <si>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</si>
  <si>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</si>
  <si>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</si>
  <si>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</si>
  <si>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</si>
  <si>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</si>
  <si>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</si>
  <si>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</si>
  <si>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</si>
  <si>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</si>
  <si>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</si>
  <si>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</si>
  <si>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</si>
  <si>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</si>
  <si>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</si>
  <si>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</si>
  <si>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</si>
  <si>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</si>
  <si>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</si>
  <si>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</si>
  <si>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</si>
  <si>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</si>
  <si>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</si>
  <si>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</si>
  <si>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</si>
  <si>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</si>
  <si>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</si>
  <si>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</si>
  <si>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</si>
  <si>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</si>
  <si>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</si>
  <si>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</si>
  <si>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</si>
  <si>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</si>
  <si>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</si>
  <si>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</si>
  <si>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</si>
  <si>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</si>
  <si>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</si>
  <si>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</si>
  <si>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</si>
  <si>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</si>
  <si>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</si>
  <si>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</si>
  <si>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</si>
  <si>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</si>
  <si>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</si>
  <si>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</si>
  <si>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</si>
  <si>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</si>
  <si>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</si>
  <si>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</si>
  <si>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</si>
  <si>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</si>
  <si>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</si>
  <si>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</si>
  <si>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</si>
  <si>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</si>
  <si>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</si>
  <si>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</si>
  <si>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</si>
  <si>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</si>
  <si>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</si>
  <si>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</si>
  <si>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</si>
  <si>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</si>
  <si>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</si>
  <si>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</si>
  <si>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</si>
  <si>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</si>
  <si>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</si>
  <si>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</si>
  <si>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</si>
  <si>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</si>
  <si>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</si>
  <si>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</si>
  <si>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</si>
  <si>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</si>
  <si>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</si>
  <si>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</si>
  <si>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</si>
  <si>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</si>
  <si>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</si>
  <si>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</si>
  <si>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</si>
  <si>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</si>
  <si>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</si>
  <si>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</si>
  <si>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</si>
  <si>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</si>
  <si>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</si>
  <si>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</si>
  <si>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</si>
  <si>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</si>
  <si>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</si>
  <si>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</si>
  <si>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</si>
  <si>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</si>
  <si>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</si>
  <si>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</si>
  <si>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</si>
  <si>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</si>
  <si>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</si>
  <si>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</si>
  <si>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</si>
  <si>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</si>
  <si>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</si>
  <si>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</si>
  <si>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</si>
  <si>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</si>
  <si>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</si>
  <si>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</si>
  <si>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</si>
  <si>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</si>
  <si>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</si>
  <si>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</si>
  <si>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</si>
  <si>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</si>
  <si>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</si>
  <si>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</si>
  <si>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</si>
  <si>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</si>
  <si>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</si>
  <si>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</si>
  <si>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</si>
  <si>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</si>
  <si>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</si>
  <si>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</si>
  <si>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</si>
  <si>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</si>
  <si>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</si>
  <si>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</si>
  <si>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</si>
  <si>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</si>
  <si>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</si>
  <si>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</si>
  <si>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</si>
  <si>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</si>
  <si>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</si>
  <si>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</si>
  <si>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</si>
  <si>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</si>
  <si>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</si>
  <si>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</si>
  <si>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</si>
  <si>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</si>
  <si>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</si>
  <si>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</si>
  <si>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</si>
  <si>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</si>
  <si>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</si>
  <si>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</si>
  <si>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</si>
  <si>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</si>
  <si>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</si>
  <si>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</si>
  <si>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</si>
  <si>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</si>
  <si>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</si>
  <si>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</si>
  <si>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</si>
  <si>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</si>
  <si>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</si>
  <si>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</si>
  <si>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</si>
  <si>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</si>
  <si>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</si>
  <si>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</si>
  <si>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</si>
  <si>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</si>
  <si>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</si>
  <si>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</si>
  <si>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</si>
  <si>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</si>
  <si>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</si>
  <si>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</si>
  <si>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</si>
  <si>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</si>
  <si>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</si>
  <si>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</si>
  <si>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</si>
  <si>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</si>
  <si>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</si>
  <si>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</si>
  <si>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</si>
  <si>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</si>
  <si>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</si>
  <si>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</si>
  <si>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</si>
  <si>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</si>
  <si>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</si>
  <si>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</si>
  <si>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</si>
  <si>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</si>
  <si>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</si>
  <si>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</si>
  <si>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</si>
  <si>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</si>
  <si>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</si>
  <si>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</si>
  <si>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</si>
  <si>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</si>
  <si>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</si>
  <si>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</si>
  <si>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</si>
  <si>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</si>
  <si>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</si>
  <si>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</si>
  <si>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</si>
  <si>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</si>
  <si>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</si>
  <si>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</si>
  <si>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</si>
  <si>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</si>
  <si>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</si>
  <si>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</si>
  <si>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</si>
  <si>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</si>
  <si>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</si>
  <si>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</si>
  <si>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</si>
  <si>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</si>
  <si>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</si>
  <si>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</si>
  <si>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</si>
  <si>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</si>
  <si>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</si>
  <si>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</si>
  <si>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</si>
  <si>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</si>
  <si>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</si>
  <si>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</si>
  <si>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</si>
  <si>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</si>
  <si>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</si>
  <si>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</si>
  <si>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</si>
  <si>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</si>
  <si>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</si>
  <si>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</si>
  <si>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</si>
  <si>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</si>
  <si>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</si>
  <si>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</si>
  <si>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</si>
  <si>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</si>
  <si>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</si>
  <si>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</si>
  <si>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</si>
  <si>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</si>
  <si>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</si>
  <si>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</si>
  <si>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</si>
  <si>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</si>
  <si>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</si>
  <si>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</si>
  <si>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</si>
  <si>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</si>
  <si>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</si>
  <si>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</si>
  <si>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</si>
  <si>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</si>
  <si>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</si>
  <si>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</si>
  <si>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</si>
  <si>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</si>
  <si>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</si>
  <si>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</si>
  <si>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</si>
  <si>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</si>
  <si>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</si>
  <si>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</si>
  <si>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</si>
  <si>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</si>
  <si>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</si>
  <si>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</si>
  <si>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</si>
  <si>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</si>
  <si>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</si>
  <si>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</si>
  <si>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</si>
  <si>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</si>
  <si>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</si>
  <si>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</si>
  <si>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</si>
  <si>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</si>
  <si>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</si>
  <si>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</si>
  <si>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</si>
  <si>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</si>
  <si>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</si>
  <si>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</si>
  <si>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</si>
  <si>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</si>
  <si>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</si>
  <si>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</si>
  <si>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</si>
  <si>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</si>
  <si>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</si>
  <si>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</si>
  <si>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</si>
  <si>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</si>
  <si>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</si>
  <si>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</si>
  <si>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</si>
  <si>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</si>
  <si>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</si>
  <si>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</si>
  <si>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</si>
  <si>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</si>
  <si>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</si>
  <si>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</si>
  <si>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</si>
  <si>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</si>
  <si>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</si>
  <si>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</si>
  <si>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</si>
  <si>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</si>
  <si>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</si>
  <si>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</si>
  <si>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</si>
  <si>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</si>
  <si>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</si>
  <si>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</si>
  <si>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</si>
  <si>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</si>
  <si>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</si>
  <si>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</si>
  <si>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</si>
  <si>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</si>
  <si>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</si>
  <si>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</si>
  <si>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</si>
  <si>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</si>
  <si>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</si>
  <si>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</si>
  <si>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</si>
  <si>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</si>
  <si>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</si>
  <si>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</si>
  <si>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</si>
  <si>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</si>
  <si>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</si>
  <si>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</si>
  <si>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</si>
  <si>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</si>
  <si>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</si>
  <si>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</si>
  <si>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</si>
  <si>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</si>
  <si>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</si>
  <si>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</si>
  <si>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</si>
  <si>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</si>
  <si>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</si>
  <si>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</si>
  <si>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</si>
  <si>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</si>
  <si>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</si>
  <si>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</si>
  <si>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</si>
  <si>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</si>
  <si>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</si>
  <si>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</si>
  <si>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</si>
  <si>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</si>
  <si>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</si>
  <si>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</si>
  <si>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</si>
  <si>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</si>
  <si>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</si>
  <si>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</si>
  <si>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</si>
  <si>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</si>
  <si>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</si>
  <si>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</si>
  <si>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</si>
  <si>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</si>
  <si>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</si>
  <si>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</si>
  <si>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</si>
  <si>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</si>
  <si>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</si>
  <si>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</si>
  <si>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</si>
  <si>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</si>
  <si>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</si>
  <si>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</si>
  <si>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</si>
  <si>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</si>
  <si>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</si>
  <si>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</si>
  <si>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</si>
  <si>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</si>
  <si>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</si>
  <si>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</si>
  <si>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</si>
  <si>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</si>
  <si>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</si>
  <si>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</si>
  <si>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</si>
  <si>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</si>
  <si>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</si>
  <si>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</si>
  <si>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</si>
  <si>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</si>
  <si>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</si>
  <si>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</si>
  <si>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</si>
  <si>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</si>
  <si>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</si>
  <si>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</si>
  <si>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</si>
  <si>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</si>
  <si>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</si>
  <si>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</si>
  <si>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</si>
  <si>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</si>
  <si>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</si>
  <si>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</si>
  <si>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</si>
  <si>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</si>
  <si>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</si>
  <si>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</si>
  <si>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</si>
  <si>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</si>
  <si>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</si>
  <si>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</si>
  <si>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</si>
  <si>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</si>
  <si>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</si>
  <si>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</si>
  <si>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</si>
  <si>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</si>
  <si>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</si>
  <si>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</si>
  <si>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</si>
  <si>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</si>
  <si>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</si>
  <si>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</si>
  <si>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</si>
  <si>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</si>
  <si>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</si>
  <si>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</si>
  <si>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</si>
  <si>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</si>
  <si>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</si>
  <si>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</si>
  <si>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</si>
  <si>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</si>
  <si>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</si>
  <si>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</si>
  <si>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</si>
  <si>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</si>
  <si>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</si>
  <si>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</si>
  <si>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</si>
  <si>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</si>
  <si>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</si>
  <si>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</si>
  <si>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</si>
  <si>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</si>
  <si>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</si>
  <si>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</si>
  <si>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</si>
  <si>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</si>
  <si>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</si>
  <si>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</si>
  <si>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</si>
  <si>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</si>
  <si>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</si>
  <si>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</si>
  <si>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</si>
  <si>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</si>
  <si>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</si>
  <si>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</si>
  <si>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</si>
  <si>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</si>
  <si>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</si>
  <si>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</si>
  <si>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</si>
  <si>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</si>
  <si>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</si>
  <si>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</si>
  <si>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</si>
  <si>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</si>
  <si>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</si>
  <si>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</si>
  <si>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</si>
  <si>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</si>
  <si>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</si>
  <si>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</si>
  <si>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</si>
  <si>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</si>
  <si>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</si>
  <si>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</si>
  <si>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</si>
  <si>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</si>
  <si>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</si>
  <si>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</si>
  <si>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</si>
  <si>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</si>
  <si>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</si>
  <si>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</si>
  <si>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</si>
  <si>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</si>
  <si>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</si>
  <si>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</si>
  <si>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</si>
  <si>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</si>
  <si>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</si>
  <si>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</si>
  <si>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</si>
  <si>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</si>
  <si>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</si>
  <si>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</si>
  <si>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</si>
  <si>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</si>
  <si>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</si>
  <si>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</si>
  <si>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</si>
  <si>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</si>
  <si>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</si>
  <si>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</si>
  <si>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</si>
  <si>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</si>
  <si>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</si>
  <si>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</si>
  <si>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</si>
  <si>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</si>
  <si>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</si>
  <si>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</si>
  <si>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</si>
  <si>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</si>
  <si>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</si>
  <si>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</si>
  <si>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</si>
  <si>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</si>
  <si>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</si>
  <si>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</si>
  <si>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</si>
  <si>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</si>
  <si>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</si>
  <si>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</si>
  <si>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</si>
  <si>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</si>
  <si>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</si>
  <si>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</si>
  <si>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</si>
  <si>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</si>
  <si>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</si>
  <si>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</si>
  <si>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</si>
  <si>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</si>
  <si>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</si>
  <si>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</si>
  <si>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</si>
  <si>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</si>
  <si>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</si>
  <si>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</si>
  <si>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</si>
  <si>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</si>
  <si>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</si>
  <si>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</si>
  <si>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</si>
  <si>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</si>
  <si>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</si>
  <si>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</si>
  <si>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</si>
  <si>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</si>
  <si>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</si>
  <si>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</si>
  <si>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</si>
  <si>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</si>
  <si>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</si>
  <si>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</si>
  <si>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</si>
  <si>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</si>
  <si>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</si>
  <si>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</si>
  <si>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</si>
  <si>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</si>
  <si>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</si>
  <si>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</si>
  <si>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</si>
  <si>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</si>
  <si>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</si>
  <si>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</si>
  <si>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</si>
  <si>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</si>
  <si>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</si>
  <si>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</si>
  <si>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</si>
  <si>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</si>
  <si>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</si>
  <si>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</si>
  <si>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</si>
  <si>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</si>
  <si>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</si>
  <si>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</si>
  <si>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</si>
  <si>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</si>
  <si>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</si>
  <si>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</si>
  <si>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</si>
  <si>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</si>
  <si>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</si>
  <si>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</si>
  <si>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</si>
  <si>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</si>
  <si>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</si>
  <si>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</si>
  <si>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</si>
  <si>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</si>
  <si>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</si>
  <si>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</si>
  <si>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</si>
  <si>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</si>
  <si>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</si>
  <si>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</si>
  <si>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</si>
  <si>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</si>
  <si>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</si>
  <si>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</si>
  <si>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</si>
  <si>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</si>
  <si>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</si>
  <si>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</si>
  <si>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</si>
  <si>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</si>
  <si>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</si>
  <si>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</si>
  <si>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</si>
  <si>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</si>
  <si>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</si>
  <si>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</si>
  <si>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</si>
  <si>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</si>
  <si>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</si>
  <si>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</si>
  <si>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</si>
  <si>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</si>
  <si>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</si>
  <si>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</si>
  <si>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</si>
  <si>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</si>
  <si>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</si>
  <si>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</si>
  <si>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</si>
  <si>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</si>
  <si>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</si>
  <si>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</si>
  <si>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</si>
  <si>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</si>
  <si>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</si>
  <si>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</si>
  <si>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</si>
  <si>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</si>
  <si>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</si>
  <si>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</si>
  <si>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</si>
  <si>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</si>
  <si>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</si>
  <si>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</si>
  <si>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</si>
  <si>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</si>
  <si>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</si>
  <si>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</si>
  <si>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</si>
  <si>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</si>
  <si>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</si>
  <si>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</si>
  <si>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</si>
  <si>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</si>
  <si>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</si>
  <si>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</si>
  <si>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</si>
  <si>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</si>
  <si>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</si>
  <si>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</si>
  <si>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</si>
  <si>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</si>
  <si>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</si>
  <si>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</si>
  <si>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</si>
  <si>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</si>
  <si>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</si>
  <si>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</si>
  <si>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</si>
  <si>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</si>
  <si>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</si>
  <si>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</si>
  <si>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</si>
  <si>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</si>
  <si>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</si>
  <si>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</si>
  <si>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</si>
  <si>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</si>
  <si>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</si>
  <si>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</si>
  <si>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</si>
  <si>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</si>
  <si>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</si>
  <si>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</si>
  <si>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</si>
  <si>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</si>
  <si>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</si>
  <si>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</si>
  <si>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</si>
  <si>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</si>
  <si>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</si>
  <si>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</si>
  <si>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</si>
  <si>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</si>
  <si>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</si>
  <si>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</si>
  <si>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</si>
  <si>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</si>
  <si>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</si>
  <si>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</si>
  <si>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</si>
  <si>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</si>
  <si>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</si>
  <si>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</si>
  <si>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</si>
  <si>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</si>
  <si>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</si>
  <si>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</si>
  <si>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</si>
  <si>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</si>
  <si>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</si>
  <si>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</si>
  <si>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</si>
  <si>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</si>
  <si>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</si>
  <si>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</si>
  <si>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</si>
  <si>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</si>
  <si>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</si>
  <si>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</si>
  <si>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</si>
  <si>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</si>
  <si>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</si>
  <si>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</si>
  <si>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</si>
  <si>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</si>
  <si>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</si>
  <si>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</si>
  <si>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</si>
  <si>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</si>
  <si>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</si>
  <si>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</si>
  <si>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</si>
  <si>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</si>
  <si>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</si>
  <si>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</si>
  <si>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</si>
  <si>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</si>
  <si>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</si>
  <si>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</si>
  <si>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</si>
  <si>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</si>
  <si>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</si>
  <si>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</si>
  <si>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</si>
  <si>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</si>
  <si>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</si>
  <si>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</si>
  <si>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</si>
  <si>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</si>
  <si>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</si>
  <si>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</si>
  <si>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</si>
  <si>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</si>
  <si>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</si>
  <si>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</si>
  <si>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</si>
  <si>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</si>
  <si>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</si>
  <si>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</si>
  <si>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</si>
  <si>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</si>
  <si>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</si>
  <si>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</si>
  <si>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</si>
  <si>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</si>
  <si>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</si>
  <si>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</si>
  <si>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</si>
  <si>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</si>
  <si>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</si>
  <si>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</si>
  <si>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</si>
  <si>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</si>
  <si>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</si>
  <si>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</si>
  <si>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</si>
  <si>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</si>
  <si>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</si>
  <si>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</si>
  <si>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</si>
  <si>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</si>
  <si>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</si>
  <si>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</si>
  <si>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</si>
  <si>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</si>
  <si>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</si>
  <si>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</si>
  <si>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</si>
  <si>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</si>
  <si>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</si>
  <si>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</si>
  <si>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</si>
  <si>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</si>
  <si>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</si>
  <si>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</si>
  <si>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</si>
  <si>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</si>
  <si>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</si>
  <si>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</si>
  <si>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</si>
  <si>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</si>
  <si>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</si>
  <si>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</si>
  <si>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</si>
  <si>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</si>
  <si>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</si>
  <si>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</si>
  <si>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</si>
  <si>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</si>
  <si>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</si>
  <si>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</si>
  <si>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</si>
  <si>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</si>
  <si>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</si>
  <si>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</si>
  <si>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</si>
  <si>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</si>
  <si>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</si>
  <si>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</si>
  <si>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</si>
  <si>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</si>
  <si>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</si>
  <si>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</si>
  <si>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</si>
  <si>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</si>
  <si>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</si>
  <si>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</si>
  <si>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</si>
  <si>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</si>
  <si>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</si>
  <si>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</si>
  <si>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</si>
  <si>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</si>
  <si>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</si>
  <si>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</si>
  <si>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</si>
  <si>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</si>
  <si>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</si>
  <si>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</si>
  <si>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</si>
  <si>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</si>
  <si>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</si>
  <si>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</si>
  <si>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</si>
  <si>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</si>
  <si>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</si>
  <si>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</si>
  <si>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</si>
  <si>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</si>
  <si>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</si>
  <si>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</si>
  <si>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</si>
  <si>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</si>
  <si>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</si>
  <si>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</si>
  <si>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</si>
  <si>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</si>
  <si>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</si>
  <si>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</si>
  <si>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</si>
  <si>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</si>
  <si>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</si>
  <si>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</si>
  <si>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</si>
  <si>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</si>
  <si>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</si>
  <si>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</si>
  <si>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</si>
  <si>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</si>
  <si>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</si>
  <si>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</si>
  <si>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</si>
  <si>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</si>
  <si>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</si>
  <si>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</si>
  <si>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</si>
  <si>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</si>
  <si>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</si>
  <si>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</si>
  <si>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</si>
  <si>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</si>
  <si>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</si>
  <si>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</si>
  <si>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</si>
  <si>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</si>
  <si>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</si>
  <si>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</si>
  <si>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</si>
  <si>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</si>
  <si>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</si>
  <si>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</si>
  <si>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</si>
  <si>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</si>
  <si>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</si>
  <si>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</si>
  <si>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</si>
  <si>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</si>
  <si>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</si>
  <si>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</si>
  <si>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</si>
  <si>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</si>
  <si>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</si>
  <si>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</si>
  <si>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</si>
  <si>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</si>
  <si>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</si>
  <si>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</si>
  <si>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</si>
  <si>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</si>
  <si>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</si>
  <si>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</si>
  <si>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</si>
  <si>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</si>
  <si>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</si>
  <si>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</si>
  <si>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</si>
  <si>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</si>
  <si>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</si>
  <si>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</si>
  <si>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</si>
  <si>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</si>
  <si>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</si>
  <si>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</si>
  <si>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</si>
  <si>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</si>
  <si>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</si>
  <si>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</si>
  <si>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</si>
  <si>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</si>
  <si>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</si>
  <si>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</si>
  <si>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</si>
  <si>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</si>
  <si>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</si>
  <si>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</si>
  <si>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</si>
  <si>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</si>
  <si>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</si>
  <si>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</si>
  <si>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</si>
  <si>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</si>
  <si>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</si>
  <si>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</si>
  <si>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</si>
  <si>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</si>
  <si>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</si>
  <si>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</si>
  <si>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</si>
  <si>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</si>
  <si>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</si>
  <si>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</si>
  <si>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</si>
  <si>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</si>
  <si>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</si>
  <si>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</si>
  <si>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</si>
  <si>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</si>
  <si>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</si>
  <si>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</si>
  <si>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</si>
  <si>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</si>
  <si>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</si>
  <si>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</si>
  <si>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</si>
  <si>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</si>
  <si>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</si>
  <si>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</si>
  <si>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</si>
  <si>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</si>
  <si>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</si>
  <si>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</si>
  <si>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</si>
  <si>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</si>
  <si>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</si>
  <si>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</si>
  <si>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</si>
  <si>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</si>
  <si>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</si>
  <si>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</si>
  <si>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</si>
  <si>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</si>
  <si>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</si>
  <si>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</si>
  <si>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</si>
  <si>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</si>
  <si>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</si>
  <si>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</si>
  <si>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</si>
  <si>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</si>
  <si>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</si>
  <si>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</si>
  <si>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</si>
  <si>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</si>
  <si>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</si>
  <si>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</si>
  <si>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</si>
  <si>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</si>
  <si>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</si>
  <si>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</si>
  <si>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</si>
  <si>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</si>
  <si>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</si>
  <si>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</si>
  <si>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</si>
  <si>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</si>
  <si>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</si>
  <si>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</si>
  <si>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</si>
  <si>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</si>
  <si>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</si>
  <si>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</si>
  <si>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</si>
  <si>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</si>
  <si>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</si>
  <si>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</si>
  <si>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</si>
  <si>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</si>
  <si>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</si>
  <si>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</si>
  <si>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</si>
  <si>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</si>
  <si>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</si>
  <si>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</si>
  <si>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</si>
  <si>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</si>
  <si>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</si>
  <si>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</si>
  <si>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</si>
  <si>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</si>
  <si>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</si>
  <si>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</si>
  <si>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</si>
  <si>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</si>
  <si>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</si>
  <si>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</si>
  <si>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</si>
  <si>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</si>
  <si>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</si>
  <si>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</si>
  <si>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</si>
  <si>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</si>
  <si>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</si>
  <si>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</si>
  <si>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</si>
  <si>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</si>
  <si>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</si>
  <si>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</si>
  <si>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</si>
  <si>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</si>
  <si>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</si>
  <si>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</si>
  <si>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</si>
  <si>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</si>
  <si>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</si>
  <si>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</si>
  <si>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</si>
  <si>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</si>
  <si>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</si>
  <si>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</si>
  <si>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</si>
  <si>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</si>
  <si>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</si>
  <si>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</si>
  <si>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</si>
  <si>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</si>
  <si>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</si>
  <si>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</si>
  <si>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</si>
  <si>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</si>
  <si>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</si>
  <si>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</si>
  <si>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</si>
  <si>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</si>
  <si>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</si>
  <si>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</si>
  <si>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</si>
  <si>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</si>
  <si>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</si>
  <si>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</si>
  <si>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</si>
  <si>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</si>
  <si>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</si>
  <si>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</si>
  <si>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</si>
  <si>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</si>
  <si>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</si>
  <si>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</si>
  <si>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</si>
  <si>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</si>
  <si>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</si>
  <si>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</si>
  <si>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</si>
  <si>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</si>
  <si>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</si>
  <si>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</si>
  <si>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</si>
  <si>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</si>
  <si>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</si>
  <si>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</si>
  <si>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</si>
  <si>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</si>
  <si>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</si>
  <si>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</si>
  <si>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</si>
  <si>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</si>
  <si>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</si>
  <si>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</si>
  <si>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</si>
  <si>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</si>
  <si>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</si>
  <si>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</si>
  <si>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</si>
  <si>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</si>
  <si>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</si>
  <si>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</si>
  <si>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</si>
  <si>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</si>
  <si>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</si>
  <si>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</si>
  <si>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</si>
  <si>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</si>
  <si>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</si>
  <si>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</si>
  <si>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</si>
  <si>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</si>
  <si>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</si>
  <si>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</si>
  <si>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</si>
  <si>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</si>
  <si>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</si>
  <si>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</si>
  <si>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</si>
  <si>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</si>
  <si>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</si>
  <si>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</si>
  <si>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</si>
  <si>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</si>
  <si>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</si>
  <si>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</si>
  <si>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</si>
  <si>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</si>
  <si>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</si>
  <si>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</si>
  <si>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</si>
  <si>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</si>
  <si>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</si>
  <si>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</si>
  <si>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</si>
  <si>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</si>
  <si>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</si>
  <si>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</si>
  <si>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</si>
  <si>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</si>
  <si>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</si>
  <si>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</si>
  <si>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</si>
  <si>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</si>
  <si>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</si>
  <si>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</si>
  <si>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</si>
  <si>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</si>
  <si>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</si>
  <si>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</si>
  <si>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</si>
  <si>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</si>
  <si>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</si>
  <si>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</si>
  <si>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</si>
  <si>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</si>
  <si>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</si>
  <si>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</si>
  <si>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</si>
  <si>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</si>
  <si>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</si>
  <si>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</si>
  <si>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</si>
  <si>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</si>
  <si>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</si>
  <si>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</si>
  <si>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</si>
  <si>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</si>
  <si>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</si>
  <si>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</si>
  <si>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</si>
  <si>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</si>
  <si>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</si>
  <si>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</si>
  <si>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</si>
  <si>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</si>
  <si>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</si>
  <si>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</si>
  <si>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</si>
  <si>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</si>
  <si>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</si>
  <si>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</si>
  <si>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</si>
  <si>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</si>
  <si>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</si>
  <si>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</si>
  <si>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</si>
  <si>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</si>
  <si>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</si>
  <si>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</si>
  <si>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</si>
  <si>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</si>
  <si>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</si>
  <si>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</si>
  <si>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</si>
  <si>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</si>
  <si>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</si>
  <si>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</si>
  <si>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</si>
  <si>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</si>
  <si>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</si>
  <si>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</si>
  <si>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</si>
  <si>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</si>
  <si>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</si>
  <si>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</si>
  <si>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</si>
  <si>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</si>
  <si>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</si>
  <si>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</si>
  <si>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</si>
  <si>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</si>
  <si>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</si>
  <si>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</si>
  <si>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</si>
  <si>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</si>
  <si>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</si>
  <si>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</si>
  <si>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</si>
  <si>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</si>
  <si>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</si>
  <si>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</si>
  <si>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</si>
  <si>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</si>
  <si>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</si>
  <si>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</si>
  <si>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</si>
  <si>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</si>
  <si>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</si>
  <si>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</si>
  <si>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</si>
  <si>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</si>
  <si>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</si>
  <si>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</si>
  <si>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</si>
  <si>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</si>
  <si>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</si>
  <si>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</si>
  <si>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</si>
  <si>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</si>
  <si>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</si>
  <si>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</si>
  <si>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</si>
  <si>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</si>
  <si>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</si>
  <si>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</si>
  <si>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</si>
  <si>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</si>
  <si>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</si>
  <si>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</si>
  <si>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</si>
  <si>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</si>
  <si>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</si>
  <si>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</si>
  <si>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</si>
  <si>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</si>
  <si>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</si>
  <si>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</si>
  <si>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</si>
  <si>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</si>
  <si>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</si>
  <si>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</si>
  <si>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</si>
  <si>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</si>
  <si>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</si>
  <si>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</si>
  <si>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</si>
  <si>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</si>
  <si>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</si>
  <si>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</si>
  <si>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</si>
  <si>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</si>
  <si>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</si>
  <si>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</si>
  <si>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</si>
  <si>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</si>
  <si>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</si>
  <si>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</si>
  <si>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</si>
  <si>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</si>
  <si>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</si>
  <si>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</si>
  <si>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</si>
  <si>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</si>
  <si>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</si>
  <si>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</si>
  <si>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</si>
  <si>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</si>
  <si>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</si>
  <si>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</si>
  <si>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</si>
  <si>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</si>
  <si>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</si>
  <si>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</si>
  <si>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</si>
  <si>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</si>
  <si>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</si>
  <si>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</si>
  <si>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</si>
  <si>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</si>
  <si>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</si>
  <si>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</si>
  <si>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</si>
  <si>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</si>
  <si>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</si>
  <si>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</si>
  <si>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</si>
  <si>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</si>
  <si>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</si>
  <si>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</si>
  <si>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</si>
  <si>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</si>
  <si>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</si>
  <si>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</si>
  <si>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</si>
  <si>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</si>
  <si>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</si>
  <si>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</si>
  <si>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</si>
  <si>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</si>
  <si>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</si>
  <si>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</si>
  <si>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</si>
  <si>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</si>
  <si>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</si>
  <si>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</si>
  <si>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</si>
  <si>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</si>
  <si>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</si>
  <si>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</si>
  <si>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</si>
  <si>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</si>
  <si>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</si>
  <si>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</si>
  <si>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</si>
  <si>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</si>
  <si>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</si>
  <si>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</si>
  <si>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</si>
  <si>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</si>
  <si>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</si>
  <si>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</si>
  <si>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</si>
  <si>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</si>
  <si>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</si>
  <si>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</si>
  <si>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</si>
  <si>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</si>
  <si>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</si>
  <si>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</si>
  <si>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</si>
  <si>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</si>
  <si>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</si>
  <si>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</si>
  <si>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</si>
  <si>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</si>
  <si>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</si>
  <si>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</si>
  <si>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</si>
  <si>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</si>
  <si>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</si>
  <si>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</si>
  <si>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</si>
  <si>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</si>
  <si>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</si>
  <si>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</si>
  <si>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</si>
  <si>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</si>
  <si>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</si>
  <si>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</si>
  <si>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</si>
  <si>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</si>
  <si>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</si>
  <si>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</si>
  <si>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</si>
  <si>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</si>
  <si>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</si>
  <si>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</si>
  <si>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</si>
  <si>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</si>
  <si>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</si>
  <si>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</si>
  <si>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</si>
  <si>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</si>
  <si>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</si>
  <si>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</si>
  <si>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</si>
  <si>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</si>
  <si>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</si>
  <si>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</si>
  <si>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</si>
  <si>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</si>
  <si>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</si>
  <si>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</si>
  <si>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</si>
  <si>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</si>
  <si>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</si>
  <si>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</si>
  <si>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</si>
  <si>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</si>
  <si>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</si>
  <si>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</si>
  <si>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</si>
  <si>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</si>
  <si>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</si>
  <si>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</si>
  <si>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</si>
  <si>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</si>
  <si>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</si>
  <si>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</si>
  <si>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</si>
  <si>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</si>
  <si>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</si>
  <si>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</si>
  <si>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</si>
  <si>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</si>
  <si>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</si>
  <si>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</si>
  <si>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</si>
  <si>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</si>
  <si>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</si>
  <si>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</si>
  <si>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</si>
  <si>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</si>
  <si>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</si>
  <si>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</si>
  <si>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</si>
  <si>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</si>
  <si>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</si>
  <si>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</si>
  <si>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</si>
  <si>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</si>
  <si>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</si>
  <si>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</si>
  <si>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</si>
  <si>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</si>
  <si>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</si>
  <si>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</si>
  <si>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</si>
  <si>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</si>
  <si>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</si>
  <si>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</si>
  <si>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</si>
  <si>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</si>
  <si>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</si>
  <si>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</si>
  <si>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</si>
  <si>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</si>
  <si>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</si>
  <si>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</si>
  <si>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</si>
  <si>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</si>
  <si>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</si>
  <si>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</si>
  <si>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</si>
  <si>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</si>
  <si>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</si>
  <si>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</si>
  <si>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</si>
  <si>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</si>
  <si>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</si>
  <si>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</si>
  <si>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</si>
  <si>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</si>
  <si>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</si>
  <si>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</si>
  <si>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</si>
  <si>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</si>
  <si>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</si>
  <si>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</si>
  <si>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</si>
  <si>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</si>
  <si>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</si>
  <si>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</si>
  <si>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</si>
  <si>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</si>
  <si>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</si>
  <si>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</si>
  <si>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</si>
  <si>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</si>
  <si>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</si>
  <si>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</si>
  <si>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</si>
  <si>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</si>
  <si>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</si>
  <si>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</si>
  <si>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</si>
  <si>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</si>
  <si>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</si>
  <si>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</si>
  <si>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</si>
  <si>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</si>
  <si>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</si>
  <si>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</si>
  <si>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</si>
  <si>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</si>
  <si>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</si>
  <si>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</si>
  <si>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</si>
  <si>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</si>
  <si>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</si>
  <si>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</si>
  <si>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</si>
  <si>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</si>
  <si>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</si>
  <si>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</si>
  <si>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</si>
  <si>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</si>
  <si>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</si>
  <si>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</si>
  <si>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</si>
  <si>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</si>
  <si>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</si>
  <si>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</si>
  <si>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</si>
  <si>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</si>
  <si>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</si>
  <si>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</si>
  <si>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</si>
  <si>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</si>
  <si>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</si>
  <si>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</si>
  <si>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</si>
  <si>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</si>
  <si>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</si>
  <si>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</si>
  <si>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</si>
  <si>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</si>
  <si>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</si>
  <si>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</si>
  <si>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</si>
  <si>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</si>
  <si>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</si>
  <si>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</si>
  <si>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</si>
  <si>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</si>
  <si>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</si>
  <si>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</si>
  <si>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</si>
  <si>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</si>
  <si>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</si>
  <si>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</si>
  <si>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</si>
  <si>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</si>
  <si>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</si>
  <si>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</si>
  <si>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</si>
  <si>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</si>
  <si>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</si>
  <si>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</si>
  <si>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</si>
  <si>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</si>
  <si>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</si>
  <si>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</si>
  <si>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</si>
  <si>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</si>
  <si>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</si>
  <si>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</si>
  <si>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</si>
  <si>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</si>
  <si>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</si>
  <si>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</si>
  <si>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</si>
  <si>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</si>
  <si>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</si>
  <si>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</si>
  <si>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</si>
  <si>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</si>
  <si>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</si>
  <si>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</si>
  <si>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</si>
  <si>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</si>
  <si>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</si>
  <si>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</si>
  <si>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</si>
  <si>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</si>
  <si>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</si>
  <si>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</si>
  <si>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</si>
  <si>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</si>
  <si>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</si>
  <si>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</si>
  <si>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</si>
  <si>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</si>
  <si>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</si>
  <si>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</si>
  <si>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</si>
  <si>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</si>
  <si>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</si>
  <si>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</si>
  <si>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</si>
  <si>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</si>
  <si>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</si>
  <si>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</si>
  <si>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</si>
  <si>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</si>
  <si>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</si>
  <si>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</si>
  <si>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</si>
  <si>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</si>
  <si>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</si>
  <si>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</si>
  <si>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</si>
  <si>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</si>
  <si>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</si>
  <si>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</si>
  <si>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</si>
  <si>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</si>
  <si>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</si>
  <si>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</si>
  <si>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</si>
  <si>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</si>
  <si>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</si>
  <si>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</si>
  <si>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</si>
  <si>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</si>
  <si>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</si>
  <si>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</si>
  <si>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</si>
  <si>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</si>
  <si>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</si>
  <si>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</si>
  <si>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</si>
  <si>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</si>
  <si>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</si>
  <si>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</si>
  <si>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</si>
  <si>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</si>
  <si>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</si>
  <si>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</si>
  <si>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</si>
  <si>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</si>
  <si>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</si>
  <si>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</si>
  <si>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</si>
  <si>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</si>
  <si>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</si>
  <si>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</si>
  <si>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</si>
  <si>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</si>
  <si>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</si>
  <si>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</si>
  <si>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</si>
  <si>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</si>
  <si>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</si>
  <si>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</si>
  <si>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</si>
  <si>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</si>
  <si>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</si>
  <si>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</si>
  <si>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</si>
  <si>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</si>
  <si>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</si>
  <si>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</si>
  <si>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</si>
  <si>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</si>
  <si>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</si>
  <si>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</si>
  <si>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</si>
  <si>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</si>
  <si>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</si>
  <si>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</si>
  <si>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</si>
  <si>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</si>
  <si>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</si>
  <si>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</si>
  <si>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</si>
  <si>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</si>
  <si>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</si>
  <si>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</si>
  <si>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</si>
  <si>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</si>
  <si>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</si>
  <si>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</si>
  <si>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</si>
  <si>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</si>
  <si>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</si>
  <si>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</si>
  <si>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</si>
  <si>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</si>
  <si>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</si>
  <si>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</si>
  <si>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</si>
  <si>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</si>
  <si>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</si>
  <si>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</si>
  <si>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</si>
  <si>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</si>
  <si>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</si>
  <si>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</si>
  <si>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</si>
  <si>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</si>
  <si>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</si>
  <si>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</si>
  <si>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</si>
  <si>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</si>
  <si>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</si>
  <si>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</si>
  <si>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</si>
  <si>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</si>
  <si>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</si>
  <si>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</si>
  <si>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</si>
  <si>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</si>
  <si>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</si>
  <si>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</si>
  <si>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</si>
  <si>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</si>
  <si>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</si>
  <si>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</si>
  <si>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</si>
  <si>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</si>
  <si>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</si>
  <si>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</si>
  <si>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</si>
  <si>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</si>
  <si>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</si>
  <si>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</si>
  <si>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</si>
  <si>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</si>
  <si>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</si>
  <si>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</si>
  <si>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</si>
  <si>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</si>
  <si>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</si>
  <si>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</si>
  <si>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</si>
  <si>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</si>
  <si>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</si>
  <si>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</si>
  <si>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</si>
  <si>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</si>
  <si>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</si>
  <si>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</si>
  <si>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</si>
  <si>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</si>
  <si>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</si>
  <si>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</si>
  <si>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</si>
  <si>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</si>
  <si>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</si>
  <si>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</si>
  <si>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</si>
  <si>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</si>
  <si>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</si>
  <si>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</si>
  <si>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</si>
  <si>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</si>
  <si>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</si>
  <si>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</si>
  <si>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</si>
  <si>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</si>
  <si>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</si>
  <si>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</si>
  <si>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</si>
  <si>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</si>
  <si>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</si>
  <si>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</si>
  <si>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</si>
  <si>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</si>
  <si>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</si>
  <si>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</si>
  <si>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</si>
  <si>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</si>
  <si>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</si>
  <si>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</si>
  <si>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</si>
  <si>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</si>
  <si>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</si>
  <si>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</si>
  <si>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</si>
  <si>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</si>
  <si>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</si>
  <si>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</si>
  <si>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</si>
  <si>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</si>
  <si>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</si>
  <si>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</si>
  <si>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</si>
  <si>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</si>
  <si>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</si>
  <si>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</si>
  <si>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</si>
  <si>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</si>
  <si>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</si>
  <si>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</si>
  <si>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</si>
  <si>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</si>
  <si>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</si>
  <si>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</si>
  <si>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</si>
  <si>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</si>
  <si>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</si>
  <si>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</si>
  <si>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</si>
  <si>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</si>
  <si>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</si>
  <si>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</si>
  <si>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</si>
  <si>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</si>
  <si>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</si>
  <si>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</si>
  <si>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</si>
  <si>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</si>
  <si>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</si>
  <si>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</si>
  <si>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</si>
  <si>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</si>
  <si>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</si>
  <si>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</si>
  <si>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</si>
  <si>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</si>
  <si>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</si>
  <si>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</si>
  <si>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</si>
  <si>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</si>
  <si>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</si>
  <si>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</si>
  <si>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</si>
  <si>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</si>
  <si>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</si>
  <si>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</si>
  <si>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</si>
  <si>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</si>
  <si>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</si>
  <si>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</si>
  <si>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</si>
  <si>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</si>
  <si>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</si>
  <si>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</si>
  <si>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</si>
  <si>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</si>
  <si>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</si>
  <si>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</si>
  <si>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</si>
  <si>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</si>
  <si>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</si>
  <si>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</si>
  <si>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</si>
  <si>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</si>
  <si>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</si>
  <si>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</si>
  <si>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</si>
  <si>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</si>
  <si>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</si>
  <si>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</si>
  <si>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</si>
  <si>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</si>
  <si>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</si>
  <si>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</si>
  <si>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</si>
  <si>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</si>
  <si>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</si>
  <si>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</si>
  <si>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</si>
  <si>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</si>
  <si>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</si>
  <si>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</si>
  <si>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</si>
  <si>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</si>
  <si>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</si>
  <si>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</si>
  <si>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</si>
  <si>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</si>
  <si>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</si>
  <si>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</si>
  <si>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</si>
  <si>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</si>
  <si>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</si>
  <si>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</si>
  <si>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</si>
  <si>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</si>
  <si>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</si>
  <si>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</si>
  <si>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</si>
  <si>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</si>
  <si>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</si>
  <si>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</si>
  <si>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</si>
  <si>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</si>
  <si>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</si>
  <si>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</si>
  <si>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</si>
  <si>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</si>
  <si>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</si>
  <si>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</si>
  <si>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</si>
  <si>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</si>
  <si>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</si>
  <si>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</si>
  <si>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</si>
  <si>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</si>
  <si>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</si>
  <si>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</si>
  <si>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</si>
  <si>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</si>
  <si>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</si>
  <si>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</si>
  <si>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</si>
  <si>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</si>
  <si>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</si>
  <si>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</si>
  <si>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</si>
  <si>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</si>
  <si>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</si>
  <si>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</si>
  <si>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</si>
  <si>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</si>
  <si>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</si>
  <si>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</si>
  <si>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</si>
  <si>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</si>
  <si>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</si>
  <si>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</si>
  <si>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</si>
  <si>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</si>
  <si>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</si>
  <si>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</si>
  <si>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</si>
  <si>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</si>
  <si>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</si>
  <si>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</si>
  <si>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</si>
  <si>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</si>
  <si>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</si>
  <si>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</si>
  <si>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</si>
  <si>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</si>
  <si>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</si>
  <si>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</si>
  <si>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</si>
  <si>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</si>
  <si>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</si>
  <si>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</si>
  <si>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</si>
  <si>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</si>
  <si>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</si>
  <si>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</si>
  <si>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</si>
  <si>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</si>
  <si>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</si>
  <si>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</si>
  <si>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</si>
  <si>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</si>
  <si>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</si>
  <si>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</si>
  <si>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</si>
  <si>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</si>
  <si>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</si>
  <si>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</si>
  <si>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</si>
  <si>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</si>
  <si>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</si>
  <si>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</si>
  <si>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</si>
  <si>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</si>
  <si>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</si>
  <si>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</si>
  <si>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</si>
  <si>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</si>
  <si>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</si>
  <si>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</si>
  <si>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</si>
  <si>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</si>
  <si>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</si>
  <si>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</si>
  <si>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</si>
  <si>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</si>
  <si>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</si>
  <si>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</si>
  <si>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</si>
  <si>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</si>
  <si>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</si>
  <si>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</si>
  <si>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</si>
  <si>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</si>
  <si>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</si>
  <si>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</si>
  <si>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</si>
  <si>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</si>
  <si>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</si>
  <si>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</si>
  <si>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</si>
  <si>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</si>
  <si>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</si>
  <si>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</si>
  <si>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</si>
  <si>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</si>
  <si>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</si>
  <si>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</si>
  <si>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</si>
  <si>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</si>
  <si>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</si>
  <si>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</si>
  <si>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</si>
  <si>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</si>
  <si>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</si>
  <si>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</si>
  <si>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</si>
  <si>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</si>
  <si>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</si>
  <si>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</si>
  <si>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</si>
  <si>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</si>
  <si>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</si>
  <si>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</si>
  <si>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</si>
  <si>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</si>
  <si>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</si>
  <si>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</si>
  <si>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</si>
  <si>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</si>
  <si>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</si>
  <si>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</si>
  <si>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</si>
  <si>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</si>
  <si>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</si>
  <si>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</si>
  <si>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</si>
  <si>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</si>
  <si>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</si>
  <si>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</si>
  <si>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</si>
  <si>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</si>
  <si>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</si>
  <si>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</si>
  <si>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</si>
  <si>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</si>
  <si>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</si>
  <si>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</si>
  <si>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</si>
  <si>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</si>
  <si>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</si>
  <si>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</si>
  <si>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</si>
  <si>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</si>
  <si>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</si>
  <si>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</si>
  <si>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</si>
  <si>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</si>
  <si>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</si>
  <si>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</si>
  <si>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</si>
  <si>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</si>
  <si>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</si>
  <si>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</si>
  <si>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</si>
  <si>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</si>
  <si>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</si>
  <si>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</si>
  <si>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</si>
  <si>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</si>
  <si>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</si>
  <si>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</si>
  <si>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</si>
  <si>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</si>
  <si>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</si>
  <si>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</si>
  <si>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</si>
  <si>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</si>
  <si>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</si>
  <si>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</si>
  <si>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</si>
  <si>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</si>
  <si>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</si>
  <si>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</si>
  <si>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</si>
  <si>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</si>
  <si>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</si>
  <si>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</si>
  <si>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</si>
  <si>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</si>
  <si>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</si>
  <si>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</si>
  <si>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</si>
  <si>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</si>
  <si>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</si>
  <si>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</si>
  <si>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</si>
  <si>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</si>
  <si>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</si>
  <si>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</si>
  <si>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</si>
  <si>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</si>
  <si>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</si>
  <si>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</si>
  <si>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</si>
  <si>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</si>
  <si>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</si>
  <si>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</si>
  <si>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</si>
  <si>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</si>
  <si>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</si>
  <si>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</si>
  <si>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</si>
  <si>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</si>
  <si>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</si>
  <si>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</si>
  <si>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</si>
  <si>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</si>
  <si>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</si>
  <si>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</si>
  <si>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</si>
  <si>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</si>
  <si>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</si>
  <si>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</si>
  <si>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</si>
  <si>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</si>
  <si>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</si>
  <si>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</si>
  <si>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</si>
  <si>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</si>
  <si>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</si>
  <si>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</si>
  <si>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</si>
  <si>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</si>
  <si>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</si>
  <si>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</si>
  <si>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</si>
  <si>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</si>
  <si>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</si>
  <si>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</si>
  <si>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</si>
  <si>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</si>
  <si>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</si>
  <si>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</si>
  <si>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</si>
  <si>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</si>
  <si>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</si>
  <si>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</si>
  <si>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</si>
  <si>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</si>
  <si>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</si>
  <si>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</si>
  <si>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</si>
  <si>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</si>
  <si>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</si>
  <si>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</si>
  <si>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</si>
  <si>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</si>
  <si>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</si>
  <si>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</si>
  <si>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</si>
  <si>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</si>
  <si>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</si>
  <si>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</si>
  <si>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</si>
  <si>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</si>
  <si>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</si>
  <si>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</si>
  <si>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</si>
  <si>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</si>
  <si>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</si>
  <si>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</si>
  <si>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</si>
  <si>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</si>
  <si>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</si>
  <si>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</si>
  <si>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</si>
  <si>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</si>
  <si>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</si>
  <si>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</si>
  <si>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</si>
  <si>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</si>
  <si>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</si>
  <si>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</si>
  <si>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</si>
  <si>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</si>
  <si>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</si>
  <si>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</si>
  <si>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</si>
  <si>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</si>
  <si>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</si>
  <si>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</si>
  <si>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</si>
  <si>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</si>
  <si>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</si>
  <si>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</si>
  <si>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</si>
  <si>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</si>
  <si>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</si>
  <si>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</si>
  <si>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</si>
  <si>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</si>
  <si>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</si>
  <si>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</si>
  <si>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</si>
  <si>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</si>
  <si>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</si>
  <si>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</si>
  <si>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</si>
  <si>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</si>
  <si>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</si>
  <si>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</si>
  <si>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</si>
  <si>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</si>
  <si>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</si>
  <si>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</si>
  <si>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</si>
  <si>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</si>
  <si>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</si>
  <si>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</si>
  <si>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</si>
  <si>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</si>
  <si>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</si>
  <si>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</si>
  <si>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</si>
  <si>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</si>
  <si>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</si>
  <si>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</si>
  <si>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</si>
  <si>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</si>
  <si>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</si>
  <si>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</si>
  <si>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</si>
  <si>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</si>
  <si>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</si>
  <si>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</si>
  <si>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</si>
  <si>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</si>
  <si>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</si>
  <si>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</si>
  <si>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</si>
  <si>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</si>
  <si>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</si>
  <si>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</si>
  <si>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</si>
  <si>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</si>
  <si>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</si>
  <si>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</si>
  <si>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</si>
  <si>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</si>
  <si>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</si>
  <si>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</si>
  <si>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</si>
  <si>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</si>
  <si>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</si>
  <si>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</si>
  <si>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</si>
  <si>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</si>
  <si>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</si>
  <si>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</si>
  <si>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</si>
  <si>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</si>
  <si>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</si>
  <si>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</si>
  <si>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</si>
  <si>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</si>
  <si>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</si>
  <si>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</si>
  <si>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</si>
  <si>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</si>
  <si>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</si>
  <si>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</si>
  <si>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</si>
  <si>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</si>
  <si>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</si>
  <si>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</si>
  <si>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</si>
  <si>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</si>
  <si>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</si>
  <si>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</si>
  <si>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</si>
  <si>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</si>
  <si>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</si>
  <si>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</si>
  <si>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</si>
  <si>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</si>
  <si>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</si>
  <si>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</si>
  <si>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</si>
  <si>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</si>
  <si>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</si>
  <si>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</si>
  <si>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</si>
  <si>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</si>
  <si>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</si>
  <si>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</si>
  <si>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</si>
  <si>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</si>
  <si>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</si>
  <si>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</si>
  <si>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</si>
  <si>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</si>
  <si>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</si>
  <si>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</si>
  <si>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</si>
  <si>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</si>
  <si>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</si>
  <si>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</si>
  <si>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</si>
  <si>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</si>
  <si>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</si>
  <si>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</si>
  <si>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</si>
  <si>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</si>
  <si>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</si>
  <si>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</si>
  <si>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</si>
  <si>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</si>
  <si>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</si>
  <si>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</si>
  <si>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</si>
  <si>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</si>
  <si>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</si>
  <si>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</si>
  <si>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</si>
  <si>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</si>
  <si>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</si>
  <si>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</si>
  <si>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</si>
  <si>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</si>
  <si>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</si>
  <si>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</si>
  <si>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</si>
  <si>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</si>
  <si>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</si>
  <si>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</si>
  <si>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</si>
  <si>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</si>
  <si>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</si>
  <si>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</si>
  <si>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</si>
  <si>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</si>
  <si>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</si>
  <si>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</si>
  <si>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</si>
  <si>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</si>
  <si>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</si>
  <si>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</si>
  <si>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</si>
  <si>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</si>
  <si>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</si>
  <si>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</si>
  <si>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</si>
  <si>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</si>
  <si>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</si>
  <si>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</si>
  <si>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</si>
  <si>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</si>
  <si>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</si>
  <si>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</si>
  <si>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</si>
  <si>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</si>
  <si>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</si>
  <si>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</si>
  <si>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</si>
  <si>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</si>
  <si>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</si>
  <si>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</si>
  <si>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</si>
  <si>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</si>
  <si>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</si>
  <si>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</si>
  <si>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</si>
  <si>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</si>
  <si>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</si>
  <si>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</si>
  <si>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</si>
  <si>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</si>
  <si>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</si>
  <si>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</si>
  <si>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</si>
  <si>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</si>
  <si>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</si>
  <si>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</si>
  <si>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</si>
  <si>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</si>
  <si>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</si>
  <si>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</si>
  <si>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</si>
  <si>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</si>
  <si>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</si>
  <si>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</si>
  <si>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</si>
  <si>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</si>
  <si>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</si>
  <si>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</si>
  <si>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</si>
  <si>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</si>
  <si>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</si>
  <si>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</si>
  <si>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</si>
  <si>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</si>
  <si>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</si>
  <si>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</si>
  <si>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</si>
  <si>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</si>
  <si>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</si>
  <si>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</si>
  <si>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</si>
  <si>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</si>
  <si>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</si>
  <si>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</si>
  <si>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</si>
  <si>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</si>
  <si>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</si>
  <si>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</si>
  <si>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</si>
  <si>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</si>
  <si>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</si>
  <si>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</si>
  <si>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</si>
  <si>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</si>
  <si>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</si>
  <si>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</si>
  <si>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</si>
  <si>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</si>
  <si>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</si>
  <si>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</si>
  <si>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</si>
  <si>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</si>
  <si>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</si>
  <si>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</si>
  <si>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</si>
  <si>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</si>
  <si>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</si>
  <si>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</si>
  <si>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</si>
  <si>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</si>
  <si>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</si>
  <si>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</si>
  <si>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</si>
  <si>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</si>
  <si>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</si>
  <si>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</si>
  <si>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</si>
  <si>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</si>
  <si>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</si>
  <si>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</si>
  <si>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</si>
  <si>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</si>
  <si>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</si>
  <si>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</si>
  <si>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</si>
  <si>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</si>
  <si>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</si>
  <si>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</si>
  <si>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</si>
  <si>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</si>
  <si>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</si>
  <si>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</si>
  <si>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</si>
  <si>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</si>
  <si>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</si>
  <si>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</si>
  <si>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</si>
  <si>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</si>
  <si>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</si>
  <si>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</si>
  <si>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</si>
  <si>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</si>
  <si>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</si>
  <si>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</si>
  <si>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</si>
  <si>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</si>
  <si>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</si>
  <si>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</si>
  <si>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</si>
  <si>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</si>
  <si>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</si>
  <si>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</si>
  <si>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</si>
  <si>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</si>
  <si>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</si>
  <si>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</si>
  <si>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</si>
  <si>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</si>
  <si>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</si>
  <si>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</si>
  <si>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</si>
  <si>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</si>
  <si>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</si>
  <si>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</si>
  <si>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</si>
  <si>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</si>
  <si>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</si>
  <si>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</si>
  <si>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</si>
  <si>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</si>
  <si>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</si>
  <si>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</si>
  <si>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</si>
  <si>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</si>
  <si>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</si>
  <si>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</si>
  <si>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</si>
  <si>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</si>
  <si>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</si>
  <si>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</si>
  <si>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</si>
  <si>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</si>
  <si>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</si>
  <si>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</si>
  <si>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</si>
  <si>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</si>
  <si>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</si>
  <si>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</si>
  <si>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</si>
  <si>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</si>
  <si>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</si>
  <si>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</si>
  <si>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</si>
  <si>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</si>
  <si>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</si>
  <si>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</si>
  <si>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</si>
  <si>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</si>
  <si>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</si>
  <si>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</si>
  <si>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</si>
  <si>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</si>
  <si>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</si>
  <si>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</si>
  <si>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</si>
  <si>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</si>
  <si>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</si>
  <si>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</si>
  <si>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</si>
  <si>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</si>
  <si>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</si>
  <si>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</si>
  <si>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</si>
  <si>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</si>
  <si>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</si>
  <si>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</si>
  <si>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</si>
  <si>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</si>
  <si>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</si>
  <si>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</si>
  <si>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</si>
  <si>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</si>
  <si>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</si>
  <si>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</si>
  <si>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</si>
  <si>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</si>
  <si>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</si>
  <si>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</si>
  <si>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</si>
  <si>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</si>
  <si>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</si>
  <si>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</si>
  <si>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</si>
  <si>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</si>
  <si>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</si>
  <si>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</si>
  <si>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</si>
  <si>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</si>
  <si>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</si>
  <si>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</si>
  <si>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</si>
  <si>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</si>
  <si>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</si>
  <si>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</si>
  <si>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</si>
  <si>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</si>
  <si>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</si>
  <si>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</si>
  <si>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</si>
  <si>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</si>
  <si>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</si>
  <si>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</si>
  <si>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</si>
  <si>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</si>
  <si>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</si>
  <si>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</si>
  <si>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</si>
  <si>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</si>
  <si>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</si>
  <si>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</si>
  <si>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</si>
  <si>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</si>
  <si>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</si>
  <si>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</si>
  <si>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</si>
  <si>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</si>
  <si>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</si>
  <si>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</si>
  <si>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</si>
  <si>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</si>
  <si>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</si>
  <si>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</si>
  <si>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</si>
  <si>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</si>
  <si>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</si>
  <si>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</si>
  <si>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</si>
  <si>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</si>
  <si>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</si>
  <si>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</si>
  <si>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</si>
  <si>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</si>
  <si>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</si>
  <si>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</si>
  <si>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</si>
  <si>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</si>
  <si>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</si>
  <si>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</si>
  <si>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</si>
  <si>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</si>
  <si>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</si>
  <si>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</si>
  <si>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</si>
  <si>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</si>
  <si>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</si>
  <si>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</si>
  <si>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</si>
  <si>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</si>
  <si>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</si>
  <si>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</si>
  <si>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</si>
  <si>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</si>
  <si>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</si>
  <si>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</si>
  <si>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</si>
  <si>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</si>
  <si>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</si>
  <si>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</si>
  <si>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</si>
  <si>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</si>
  <si>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</si>
  <si>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</si>
  <si>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</si>
  <si>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</si>
  <si>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</si>
  <si>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</si>
  <si>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</si>
  <si>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</si>
  <si>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</si>
  <si>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</si>
  <si>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</si>
  <si>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</si>
  <si>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</si>
  <si>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</si>
  <si>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</si>
  <si>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</si>
  <si>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</si>
  <si>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</si>
  <si>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</si>
  <si>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</si>
  <si>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</si>
  <si>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</si>
  <si>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</si>
  <si>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</si>
  <si>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</si>
  <si>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</si>
  <si>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</si>
  <si>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</si>
  <si>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</si>
  <si>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</si>
  <si>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</si>
  <si>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</si>
  <si>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</si>
  <si>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</si>
  <si>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</si>
  <si>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</si>
  <si>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</si>
  <si>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</si>
  <si>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</si>
  <si>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</si>
  <si>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</si>
  <si>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</si>
  <si>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</si>
  <si>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</si>
  <si>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</si>
  <si>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</si>
  <si>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</si>
  <si>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</si>
  <si>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</si>
  <si>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</si>
  <si>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</si>
  <si>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</si>
  <si>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</si>
  <si>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</si>
  <si>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</si>
  <si>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</si>
  <si>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</si>
  <si>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</si>
  <si>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</si>
  <si>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</si>
  <si>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</si>
  <si>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</si>
  <si>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</si>
  <si>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</si>
  <si>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</si>
  <si>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</si>
  <si>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</si>
  <si>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</si>
  <si>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</si>
  <si>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</si>
  <si>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</si>
  <si>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</si>
  <si>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</si>
  <si>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</si>
  <si>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</si>
  <si>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</si>
  <si>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</si>
  <si>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</si>
  <si>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</si>
  <si>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</si>
  <si>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</si>
  <si>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</si>
  <si>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</si>
  <si>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</si>
  <si>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</si>
  <si>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</si>
  <si>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</si>
  <si>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</si>
  <si>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</si>
  <si>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</si>
  <si>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</si>
  <si>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</si>
  <si>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</si>
  <si>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</si>
  <si>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</si>
  <si>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</si>
  <si>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</si>
  <si>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</si>
  <si>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</si>
  <si>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</si>
  <si>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</si>
  <si>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</si>
  <si>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</si>
  <si>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</si>
  <si>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</si>
  <si>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</si>
  <si>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</si>
  <si>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</si>
  <si>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</si>
  <si>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</si>
  <si>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</si>
  <si>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</si>
  <si>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</si>
  <si>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</si>
  <si>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</si>
  <si>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</si>
  <si>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</si>
  <si>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</si>
  <si>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</si>
  <si>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</si>
  <si>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</si>
  <si>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</si>
  <si>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</si>
  <si>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</si>
  <si>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</si>
  <si>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</si>
  <si>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</si>
  <si>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</si>
  <si>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</si>
  <si>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</si>
  <si>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</si>
  <si>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</si>
  <si>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</si>
  <si>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</si>
  <si>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</si>
  <si>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</si>
  <si>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</si>
  <si>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</si>
  <si>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</si>
  <si>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</si>
  <si>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</si>
  <si>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</si>
  <si>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</si>
  <si>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</si>
  <si>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</si>
  <si>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</si>
  <si>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</si>
  <si>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</si>
  <si>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</si>
  <si>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</si>
  <si>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</si>
  <si>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</si>
  <si>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</si>
  <si>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</si>
  <si>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</si>
  <si>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</si>
  <si>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</si>
  <si>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</si>
  <si>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</si>
  <si>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</si>
  <si>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</si>
  <si>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</si>
  <si>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</si>
  <si>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</si>
  <si>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</si>
  <si>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</si>
  <si>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</si>
  <si>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</si>
  <si>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</si>
  <si>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</si>
  <si>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</si>
  <si>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</si>
  <si>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</si>
  <si>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</si>
  <si>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</si>
  <si>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</si>
  <si>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</si>
  <si>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</si>
  <si>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</si>
  <si>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</si>
  <si>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</si>
  <si>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</si>
  <si>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</si>
  <si>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</si>
  <si>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</si>
  <si>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</si>
  <si>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</si>
  <si>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</si>
  <si>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</si>
  <si>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</si>
  <si>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</si>
  <si>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</si>
  <si>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</si>
  <si>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</si>
  <si>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</si>
  <si>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</si>
  <si>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</si>
  <si>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</si>
  <si>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</si>
  <si>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</si>
  <si>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</si>
  <si>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</si>
  <si>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</si>
  <si>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</si>
  <si>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</si>
  <si>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</si>
  <si>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</si>
  <si>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</si>
  <si>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</si>
  <si>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</si>
  <si>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</si>
  <si>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</si>
  <si>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</si>
  <si>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</si>
  <si>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</si>
  <si>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</si>
  <si>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</si>
  <si>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</si>
  <si>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</si>
  <si>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</si>
  <si>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</si>
  <si>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</si>
  <si>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</si>
  <si>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</si>
  <si>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</si>
  <si>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</si>
  <si>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</si>
  <si>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</si>
  <si>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</si>
  <si>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</si>
  <si>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</si>
  <si>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</si>
  <si>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</si>
  <si>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</si>
  <si>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</si>
  <si>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</si>
  <si>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</si>
  <si>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</si>
  <si>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</si>
  <si>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</si>
  <si>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</si>
  <si>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</si>
  <si>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</si>
  <si>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</si>
  <si>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</si>
  <si>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</si>
  <si>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</si>
  <si>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</si>
  <si>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</si>
  <si>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</si>
  <si>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</si>
  <si>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</si>
  <si>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</si>
  <si>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</si>
  <si>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</si>
  <si>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</si>
  <si>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</si>
  <si>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</si>
  <si>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</si>
  <si>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</si>
  <si>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</si>
  <si>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</si>
  <si>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</si>
  <si>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</si>
  <si>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</si>
  <si>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</si>
  <si>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</si>
  <si>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</si>
  <si>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</si>
  <si>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</si>
  <si>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</si>
  <si>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</si>
  <si>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</si>
  <si>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</si>
  <si>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</si>
  <si>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</si>
  <si>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</si>
  <si>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</si>
  <si>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</si>
  <si>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</si>
  <si>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</si>
  <si>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</si>
  <si>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</si>
  <si>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</si>
  <si>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</si>
  <si>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</si>
  <si>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</si>
  <si>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</si>
  <si>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</si>
  <si>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</si>
  <si>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</si>
  <si>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</si>
  <si>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</si>
  <si>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</si>
  <si>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</si>
  <si>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</si>
  <si>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</si>
  <si>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</si>
  <si>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</si>
  <si>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</si>
  <si>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</si>
  <si>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</si>
  <si>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</si>
  <si>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</si>
  <si>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</si>
  <si>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</si>
  <si>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</si>
  <si>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</si>
  <si>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</si>
  <si>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</si>
  <si>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</si>
  <si>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</si>
  <si>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</si>
  <si>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</si>
  <si>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</si>
  <si>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</si>
  <si>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</si>
  <si>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</si>
  <si>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</si>
  <si>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</si>
  <si>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</si>
  <si>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</si>
  <si>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</si>
  <si>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</si>
  <si>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</si>
  <si>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</si>
  <si>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</si>
  <si>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</si>
  <si>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</si>
  <si>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</si>
  <si>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</si>
  <si>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</si>
  <si>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</si>
  <si>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</si>
  <si>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</si>
  <si>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</si>
  <si>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</si>
  <si>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</si>
  <si>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</si>
  <si>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</si>
  <si>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</si>
  <si>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</si>
  <si>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</si>
  <si>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</si>
  <si>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</si>
  <si>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</si>
  <si>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</si>
  <si>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</si>
  <si>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</si>
  <si>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</si>
  <si>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</si>
  <si>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</si>
  <si>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</si>
  <si>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</si>
  <si>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</si>
  <si>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</si>
  <si>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</si>
  <si>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</si>
  <si>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</si>
  <si>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</si>
  <si>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</si>
  <si>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</si>
  <si>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</si>
  <si>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</si>
  <si>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</si>
  <si>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</si>
  <si>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</si>
  <si>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</si>
  <si>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</si>
  <si>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</si>
  <si>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</si>
  <si>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</si>
  <si>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</si>
  <si>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</si>
  <si>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</si>
  <si>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</si>
  <si>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</si>
  <si>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</si>
  <si>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</si>
  <si>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</si>
  <si>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</si>
  <si>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</si>
  <si>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</si>
  <si>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</si>
  <si>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</si>
  <si>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</si>
  <si>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</si>
  <si>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</si>
  <si>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</si>
  <si>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</si>
  <si>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</si>
  <si>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</si>
  <si>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</si>
  <si>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</si>
  <si>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</si>
  <si>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</si>
  <si>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</si>
  <si>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</si>
  <si>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</si>
  <si>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</si>
  <si>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</si>
  <si>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</si>
  <si>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</si>
  <si>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</si>
  <si>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</si>
  <si>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</si>
  <si>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</si>
  <si>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</si>
  <si>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</si>
  <si>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</si>
  <si>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</si>
  <si>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</si>
  <si>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</si>
  <si>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</si>
  <si>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</si>
  <si>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</si>
  <si>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</si>
  <si>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</si>
  <si>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</si>
  <si>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</si>
  <si>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</si>
  <si>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</si>
  <si>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</si>
  <si>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</si>
  <si>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</si>
  <si>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</si>
  <si>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</si>
  <si>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</si>
  <si>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</si>
  <si>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</si>
  <si>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</si>
  <si>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</si>
  <si>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</si>
  <si>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</si>
  <si>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</si>
  <si>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</si>
  <si>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</si>
  <si>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</si>
  <si>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</si>
  <si>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</si>
  <si>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</si>
  <si>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</si>
  <si>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</si>
  <si>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</si>
  <si>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</si>
  <si>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</si>
  <si>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</si>
  <si>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</si>
  <si>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</si>
  <si>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</si>
  <si>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</si>
  <si>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</si>
  <si>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</si>
  <si>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</si>
  <si>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</si>
  <si>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</si>
  <si>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</si>
  <si>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</si>
  <si>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</si>
  <si>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</si>
  <si>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</si>
  <si>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</si>
  <si>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</si>
  <si>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</si>
  <si>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</si>
  <si>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</si>
  <si>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</si>
  <si>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</si>
  <si>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</si>
  <si>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</si>
  <si>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</si>
  <si>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</si>
  <si>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</si>
  <si>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</si>
  <si>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</si>
  <si>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</si>
  <si>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</si>
  <si>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</si>
  <si>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</si>
  <si>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</si>
  <si>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</si>
  <si>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</si>
  <si>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</si>
  <si>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</si>
  <si>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</si>
  <si>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</si>
  <si>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</si>
  <si>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</si>
  <si>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</si>
  <si>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</si>
  <si>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</si>
  <si>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</si>
  <si>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</si>
  <si>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</si>
  <si>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</si>
  <si>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</si>
  <si>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</si>
  <si>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</si>
  <si>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</si>
  <si>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</si>
  <si>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</si>
  <si>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</si>
  <si>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</si>
  <si>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</si>
  <si>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</si>
  <si>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</si>
  <si>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</si>
  <si>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</si>
  <si>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</si>
  <si>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</si>
  <si>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</si>
  <si>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</si>
  <si>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</si>
  <si>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</si>
  <si>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</si>
  <si>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</si>
  <si>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</si>
  <si>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</si>
  <si>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</si>
  <si>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</si>
  <si>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</si>
  <si>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</si>
  <si>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</si>
  <si>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</si>
  <si>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</si>
  <si>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</si>
  <si>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</si>
  <si>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</si>
  <si>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</si>
  <si>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</si>
  <si>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</si>
  <si>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</si>
  <si>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</si>
  <si>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</si>
  <si>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</si>
  <si>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</si>
  <si>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</si>
  <si>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</si>
  <si>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</si>
  <si>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</si>
  <si>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</si>
  <si>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</si>
  <si>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</si>
  <si>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</si>
  <si>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</si>
  <si>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</si>
  <si>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</si>
  <si>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</si>
  <si>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</si>
  <si>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</si>
  <si>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</si>
  <si>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</si>
  <si>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</si>
  <si>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</si>
  <si>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</si>
  <si>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</si>
  <si>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</si>
  <si>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</si>
  <si>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</si>
  <si>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</si>
  <si>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</si>
  <si>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</si>
  <si>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</si>
  <si>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</si>
  <si>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</si>
  <si>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</si>
  <si>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</si>
  <si>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</si>
  <si>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</si>
  <si>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</si>
  <si>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</si>
  <si>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</si>
  <si>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</si>
  <si>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</si>
  <si>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</si>
  <si>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</si>
  <si>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</si>
  <si>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</si>
  <si>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</si>
  <si>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</si>
  <si>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</si>
  <si>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</si>
  <si>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</si>
  <si>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</si>
  <si>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</si>
  <si>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</si>
  <si>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</si>
  <si>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</si>
  <si>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</si>
  <si>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</si>
  <si>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</si>
  <si>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</si>
  <si>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</si>
  <si>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</si>
  <si>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</si>
  <si>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</si>
  <si>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</si>
  <si>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</si>
  <si>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</si>
  <si>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</si>
  <si>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</si>
  <si>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</si>
  <si>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</si>
  <si>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</si>
  <si>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</si>
  <si>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</si>
  <si>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</si>
  <si>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</si>
  <si>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</si>
  <si>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</si>
  <si>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</si>
  <si>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</si>
  <si>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</si>
  <si>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</si>
  <si>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</si>
  <si>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</si>
  <si>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</si>
  <si>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</si>
  <si>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</si>
  <si>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</si>
  <si>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</si>
  <si>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</si>
  <si>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</si>
  <si>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</si>
  <si>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</si>
  <si>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</si>
  <si>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</si>
  <si>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</si>
  <si>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</si>
  <si>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</si>
  <si>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</si>
  <si>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</si>
  <si>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</si>
  <si>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</si>
  <si>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</si>
  <si>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</si>
  <si>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</si>
  <si>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</si>
  <si>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</si>
  <si>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</si>
  <si>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</si>
  <si>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</si>
  <si>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</si>
  <si>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</si>
  <si>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</si>
  <si>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</si>
  <si>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</si>
  <si>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</si>
  <si>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</si>
  <si>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</si>
  <si>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</si>
  <si>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</si>
  <si>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</si>
  <si>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</si>
  <si>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</si>
  <si>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</si>
  <si>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</si>
  <si>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</si>
  <si>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</si>
  <si>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</si>
  <si>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</si>
  <si>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</si>
  <si>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</si>
  <si>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</si>
  <si>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</si>
  <si>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</si>
  <si>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</si>
  <si>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</si>
  <si>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</si>
  <si>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</si>
  <si>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</si>
  <si>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</si>
  <si>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</si>
  <si>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</si>
  <si>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</si>
  <si>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</si>
  <si>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</si>
  <si>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</si>
  <si>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</si>
  <si>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</si>
  <si>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</si>
  <si>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</si>
  <si>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</si>
  <si>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</si>
  <si>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</si>
  <si>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</si>
  <si>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</si>
  <si>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</si>
  <si>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</si>
  <si>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</si>
  <si>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</si>
  <si>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</si>
  <si>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</si>
  <si>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</si>
  <si>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</si>
  <si>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</si>
  <si>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</si>
  <si>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</si>
  <si>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</si>
  <si>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</si>
  <si>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</si>
  <si>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</si>
  <si>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</si>
  <si>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</si>
  <si>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</si>
  <si>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</si>
  <si>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</si>
  <si>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</si>
  <si>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</si>
  <si>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</si>
  <si>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</si>
  <si>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</si>
  <si>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</si>
  <si>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</si>
  <si>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</si>
  <si>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</si>
  <si>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</si>
  <si>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</si>
  <si>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</si>
  <si>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</si>
  <si>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</si>
  <si>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</si>
  <si>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</si>
  <si>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</si>
  <si>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</si>
  <si>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</si>
  <si>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</si>
  <si>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</si>
  <si>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</si>
  <si>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</si>
  <si>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</si>
  <si>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</si>
  <si>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</si>
  <si>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</si>
  <si>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</si>
  <si>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</si>
  <si>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</si>
  <si>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</si>
  <si>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</si>
  <si>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</si>
  <si>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</si>
  <si>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</si>
  <si>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</si>
  <si>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</si>
  <si>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</si>
  <si>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</si>
  <si>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</si>
  <si>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</si>
  <si>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</si>
  <si>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</si>
  <si>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</si>
  <si>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</si>
  <si>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</si>
  <si>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</si>
  <si>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</si>
  <si>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</si>
  <si>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</si>
  <si>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</si>
  <si>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</si>
  <si>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</si>
  <si>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</si>
  <si>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</si>
  <si>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</si>
  <si>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</si>
  <si>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</si>
  <si>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</si>
  <si>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</si>
  <si>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</si>
  <si>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</si>
  <si>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</si>
  <si>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</si>
  <si>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</si>
  <si>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</si>
  <si>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</si>
  <si>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</si>
  <si>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</si>
  <si>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</si>
  <si>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</si>
  <si>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</si>
  <si>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</si>
  <si>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</si>
  <si>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</si>
  <si>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</si>
  <si>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</si>
  <si>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</si>
  <si>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</si>
  <si>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</si>
  <si>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</si>
  <si>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</si>
  <si>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</si>
  <si>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</si>
  <si>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</si>
  <si>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</si>
  <si>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</si>
  <si>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</si>
  <si>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</si>
  <si>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</si>
  <si>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</si>
  <si>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</si>
  <si>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</si>
  <si>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</si>
  <si>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</si>
  <si>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</si>
  <si>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</si>
  <si>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</si>
  <si>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</si>
  <si>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</si>
  <si>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</si>
  <si>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</si>
  <si>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</si>
  <si>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</si>
  <si>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</si>
  <si>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</si>
  <si>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</si>
  <si>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</si>
  <si>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</si>
  <si>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</si>
  <si>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</si>
  <si>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</si>
  <si>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</si>
  <si>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</si>
  <si>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</si>
  <si>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</si>
  <si>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</si>
  <si>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</si>
  <si>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</si>
  <si>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</si>
  <si>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</si>
  <si>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</si>
  <si>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</si>
  <si>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</si>
  <si>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</si>
  <si>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</si>
  <si>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</si>
  <si>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</si>
  <si>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</si>
  <si>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</si>
  <si>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</si>
  <si>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</si>
  <si>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</si>
  <si>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</si>
  <si>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</si>
  <si>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</si>
  <si>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</si>
  <si>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</si>
  <si>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</si>
  <si>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</si>
  <si>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</si>
  <si>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</si>
  <si>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</si>
  <si>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</si>
  <si>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</si>
  <si>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</si>
  <si>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</si>
  <si>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</si>
  <si>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</si>
  <si>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</si>
  <si>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</si>
  <si>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</si>
  <si>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</si>
  <si>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</si>
  <si>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</si>
  <si>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</si>
  <si>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</si>
  <si>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</si>
  <si>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</si>
  <si>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</si>
  <si>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</si>
  <si>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</si>
  <si>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</si>
  <si>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</si>
  <si>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</si>
  <si>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</si>
  <si>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</si>
  <si>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</si>
  <si>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</si>
  <si>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</si>
  <si>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</si>
  <si>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</si>
  <si>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</si>
  <si>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</si>
  <si>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</si>
  <si>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</si>
  <si>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</si>
  <si>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</si>
  <si>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</si>
  <si>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</si>
  <si>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</si>
  <si>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</si>
  <si>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</si>
  <si>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</si>
  <si>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</si>
  <si>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</si>
  <si>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</si>
  <si>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</si>
  <si>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</si>
  <si>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</si>
  <si>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</si>
  <si>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</si>
  <si>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</si>
  <si>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</si>
  <si>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</si>
  <si>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</si>
  <si>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</si>
  <si>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</si>
  <si>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</si>
  <si>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</si>
  <si>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</si>
  <si>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</si>
  <si>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</si>
  <si>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</si>
  <si>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</si>
  <si>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</si>
  <si>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</si>
  <si>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</si>
  <si>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</si>
  <si>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</si>
  <si>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</si>
  <si>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</si>
  <si>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</si>
  <si>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</si>
  <si>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</si>
  <si>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</si>
  <si>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</si>
  <si>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</si>
  <si>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</si>
  <si>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</si>
  <si>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</si>
  <si>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</si>
  <si>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</si>
  <si>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</si>
  <si>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</si>
  <si>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</si>
  <si>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</si>
  <si>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</si>
  <si>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</si>
  <si>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</si>
  <si>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</si>
  <si>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</si>
  <si>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</si>
  <si>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</si>
  <si>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</si>
  <si>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</si>
  <si>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</si>
  <si>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</si>
  <si>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</si>
  <si>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</si>
  <si>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</si>
  <si>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</si>
  <si>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</si>
  <si>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</si>
  <si>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</si>
  <si>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</si>
  <si>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</si>
  <si>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</si>
  <si>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</si>
  <si>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</si>
  <si>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</si>
  <si>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</si>
  <si>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</si>
  <si>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</si>
  <si>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</si>
  <si>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</si>
  <si>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</si>
  <si>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</si>
  <si>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</si>
  <si>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</si>
  <si>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</si>
  <si>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</si>
  <si>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</si>
  <si>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</si>
  <si>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</si>
  <si>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</si>
  <si>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</si>
  <si>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</si>
  <si>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</si>
  <si>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</si>
  <si>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</si>
  <si>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</si>
  <si>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</si>
  <si>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</si>
  <si>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</si>
  <si>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</si>
  <si>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</si>
  <si>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</si>
  <si>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</si>
  <si>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</si>
  <si>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</si>
  <si>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</si>
  <si>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</si>
  <si>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</si>
  <si>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</si>
  <si>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</si>
  <si>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</si>
  <si>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</si>
  <si>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</si>
  <si>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</si>
  <si>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</si>
  <si>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</si>
  <si>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</si>
  <si>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</si>
  <si>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</si>
  <si>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</si>
  <si>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</si>
  <si>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</si>
  <si>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</si>
  <si>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</si>
  <si>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</si>
  <si>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</si>
  <si>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</si>
  <si>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</si>
  <si>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</si>
  <si>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</si>
  <si>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</si>
  <si>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</si>
  <si>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</si>
  <si>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</si>
  <si>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</si>
  <si>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</si>
  <si>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</si>
  <si>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</si>
  <si>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</si>
  <si>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</si>
  <si>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</si>
  <si>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</si>
  <si>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</si>
  <si>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</si>
  <si>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</si>
  <si>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</si>
  <si>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</si>
  <si>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</si>
  <si>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</si>
  <si>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</si>
  <si>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</si>
  <si>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</si>
  <si>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</si>
  <si>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</si>
  <si>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</si>
  <si>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</si>
  <si>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</si>
  <si>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</si>
  <si>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</si>
  <si>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</si>
  <si>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</si>
  <si>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</si>
  <si>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</si>
  <si>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</si>
  <si>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</si>
  <si>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</si>
  <si>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</si>
  <si>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</si>
  <si>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</si>
  <si>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</si>
  <si>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</si>
  <si>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</si>
  <si>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</si>
  <si>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</si>
  <si>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</si>
  <si>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</si>
  <si>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</si>
  <si>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</si>
  <si>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</si>
  <si>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</si>
  <si>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</si>
  <si>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</si>
  <si>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</si>
  <si>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</si>
  <si>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</si>
  <si>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</si>
  <si>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</si>
  <si>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</si>
  <si>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</si>
  <si>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</si>
  <si>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</si>
  <si>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</si>
  <si>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</si>
  <si>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</si>
  <si>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</si>
  <si>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</si>
  <si>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</si>
  <si>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</si>
  <si>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</si>
  <si>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</si>
  <si>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</si>
  <si>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</si>
  <si>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</si>
  <si>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</si>
  <si>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</si>
  <si>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</si>
  <si>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</si>
  <si>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</si>
  <si>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</si>
  <si>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</si>
  <si>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</si>
  <si>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</si>
  <si>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</si>
  <si>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</si>
  <si>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</si>
  <si>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</si>
  <si>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</si>
  <si>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</si>
  <si>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</si>
  <si>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</si>
  <si>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</si>
  <si>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</si>
  <si>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</si>
  <si>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</si>
  <si>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</si>
  <si>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</si>
  <si>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</si>
  <si>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</si>
  <si>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</si>
  <si>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</si>
  <si>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</si>
  <si>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</si>
  <si>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</si>
  <si>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</si>
  <si>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</si>
  <si>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</si>
  <si>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</si>
  <si>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</si>
  <si>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</si>
  <si>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</si>
  <si>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</si>
  <si>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</si>
  <si>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</si>
  <si>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</si>
  <si>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</si>
  <si>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</si>
  <si>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</si>
  <si>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</si>
  <si>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</si>
  <si>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</si>
  <si>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</si>
  <si>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</si>
  <si>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</si>
  <si>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</si>
  <si>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</si>
  <si>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</si>
  <si>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</si>
  <si>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</si>
  <si>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</si>
  <si>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</si>
  <si>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</si>
  <si>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</si>
  <si>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</si>
  <si>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</si>
  <si>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</si>
  <si>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</si>
  <si>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</si>
  <si>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</si>
  <si>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</si>
  <si>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</si>
  <si>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</si>
  <si>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</si>
  <si>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</si>
  <si>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</si>
  <si>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</si>
  <si>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</si>
  <si>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</si>
  <si>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</si>
  <si>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</si>
  <si>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</si>
  <si>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</si>
  <si>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</si>
  <si>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</si>
  <si>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</si>
  <si>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</si>
  <si>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</si>
  <si>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</si>
  <si>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</si>
  <si>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</si>
  <si>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</si>
  <si>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</si>
  <si>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</si>
  <si>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</si>
  <si>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</si>
  <si>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</si>
  <si>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</si>
  <si>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</si>
  <si>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</si>
  <si>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</si>
  <si>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</si>
  <si>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</si>
  <si>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</si>
  <si>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</si>
  <si>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</si>
  <si>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</si>
  <si>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</si>
  <si>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</si>
  <si>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</si>
  <si>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</si>
  <si>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</si>
  <si>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</si>
  <si>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</si>
  <si>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</si>
  <si>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</si>
  <si>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</si>
  <si>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</si>
  <si>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</si>
  <si>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</si>
  <si>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</si>
  <si>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</si>
  <si>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</si>
  <si>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</si>
  <si>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</si>
  <si>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</si>
  <si>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</si>
  <si>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</si>
  <si>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</si>
  <si>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</si>
  <si>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</si>
  <si>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</si>
  <si>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</si>
  <si>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</si>
  <si>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</si>
  <si>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</si>
  <si>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</si>
  <si>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</si>
  <si>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</si>
  <si>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</si>
  <si>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</si>
  <si>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</si>
  <si>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</si>
  <si>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</si>
  <si>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</si>
  <si>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</si>
  <si>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</si>
  <si>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</si>
  <si>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</si>
  <si>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</si>
  <si>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</si>
  <si>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</si>
  <si>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</si>
  <si>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</si>
  <si>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</si>
  <si>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</si>
  <si>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</si>
  <si>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</si>
  <si>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</si>
  <si>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</si>
  <si>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</si>
  <si>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</si>
  <si>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</si>
  <si>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</si>
  <si>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</si>
  <si>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</si>
  <si>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</si>
  <si>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</si>
  <si>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</si>
  <si>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</si>
  <si>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</si>
  <si>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</si>
  <si>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</si>
  <si>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</si>
  <si>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</si>
  <si>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</si>
  <si>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</si>
  <si>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</si>
  <si>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</si>
  <si>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</si>
  <si>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</si>
  <si>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</si>
  <si>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</si>
  <si>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</si>
  <si>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</si>
  <si>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</si>
  <si>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</si>
  <si>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</si>
  <si>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</si>
  <si>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</si>
  <si>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</si>
  <si>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</si>
  <si>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</si>
  <si>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</si>
  <si>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</si>
  <si>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</si>
  <si>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</si>
  <si>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</si>
  <si>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</si>
  <si>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</si>
  <si>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</si>
  <si>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</si>
  <si>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</si>
  <si>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</si>
  <si>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</si>
  <si>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</si>
  <si>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</si>
  <si>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</si>
  <si>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</si>
  <si>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</si>
  <si>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</si>
  <si>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</si>
  <si>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</si>
  <si>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</si>
  <si>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</si>
  <si>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</si>
  <si>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</si>
  <si>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</si>
  <si>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</si>
  <si>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</si>
  <si>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</si>
  <si>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</si>
  <si>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</si>
  <si>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</si>
  <si>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</si>
  <si>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</si>
  <si>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</si>
  <si>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</si>
  <si>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</si>
  <si>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</si>
  <si>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</si>
  <si>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</si>
  <si>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</si>
  <si>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</si>
  <si>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</si>
  <si>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</si>
  <si>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</si>
  <si>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</si>
  <si>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</si>
  <si>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</si>
  <si>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</si>
  <si>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</si>
  <si>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</si>
  <si>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</si>
  <si>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</si>
  <si>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</si>
  <si>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</si>
  <si>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</si>
  <si>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</si>
  <si>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</si>
  <si>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</si>
  <si>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</si>
  <si>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</si>
  <si>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</si>
  <si>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</si>
  <si>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</si>
  <si>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</si>
  <si>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</si>
  <si>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</si>
  <si>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</si>
  <si>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</si>
  <si>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</si>
  <si>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</si>
  <si>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</si>
  <si>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</si>
  <si>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</si>
  <si>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</si>
  <si>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</si>
  <si>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</si>
  <si>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</si>
  <si>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</si>
  <si>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</si>
  <si>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</si>
  <si>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</si>
  <si>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</si>
  <si>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</si>
  <si>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</si>
  <si>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</si>
  <si>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</si>
  <si>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</si>
  <si>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</si>
  <si>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</si>
  <si>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</si>
  <si>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</si>
  <si>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</si>
  <si>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</si>
  <si>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</si>
  <si>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</si>
  <si>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</si>
  <si>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</si>
  <si>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</si>
  <si>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</si>
  <si>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</si>
  <si>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</si>
  <si>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</si>
  <si>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</si>
  <si>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</si>
  <si>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</si>
  <si>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</si>
  <si>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</si>
  <si>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</si>
  <si>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</si>
  <si>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</si>
  <si>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</si>
  <si>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</si>
  <si>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</si>
  <si>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</si>
  <si>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</si>
  <si>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</si>
  <si>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</si>
  <si>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</si>
  <si>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</si>
  <si>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</si>
  <si>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</si>
  <si>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</si>
  <si>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</si>
  <si>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</si>
  <si>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</si>
  <si>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</si>
  <si>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</si>
  <si>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</si>
  <si>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</si>
  <si>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</si>
  <si>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</si>
  <si>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</si>
  <si>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</si>
  <si>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</si>
  <si>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</si>
  <si>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</si>
  <si>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</si>
  <si>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</si>
  <si>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</si>
  <si>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</si>
  <si>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</si>
  <si>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</si>
  <si>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</si>
  <si>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</si>
  <si>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</si>
  <si>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</si>
  <si>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</si>
  <si>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</si>
  <si>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</si>
  <si>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</si>
  <si>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</si>
  <si>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</si>
  <si>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</si>
  <si>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</si>
  <si>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</si>
  <si>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</si>
  <si>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</si>
  <si>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</si>
  <si>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</si>
  <si>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</si>
  <si>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</si>
  <si>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</si>
  <si>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</si>
  <si>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</si>
  <si>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</si>
  <si>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</si>
  <si>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</si>
  <si>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</si>
  <si>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</si>
  <si>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</si>
  <si>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</si>
  <si>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</si>
  <si>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</si>
  <si>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</si>
  <si>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</si>
  <si>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</si>
  <si>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</si>
  <si>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</si>
  <si>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</si>
  <si>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</si>
  <si>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</si>
  <si>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</si>
  <si>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</si>
  <si>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</si>
  <si>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</si>
  <si>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</si>
  <si>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</si>
  <si>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</si>
  <si>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</si>
  <si>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</si>
  <si>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</si>
  <si>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</si>
  <si>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</si>
  <si>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</si>
  <si>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</si>
  <si>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</si>
  <si>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</si>
  <si>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</si>
  <si>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</si>
  <si>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</si>
  <si>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</si>
  <si>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</si>
  <si>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</si>
  <si>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</si>
  <si>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</si>
  <si>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</si>
  <si>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</si>
  <si>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</si>
  <si>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</si>
  <si>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</si>
  <si>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</si>
  <si>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</si>
  <si>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</si>
  <si>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</si>
  <si>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</si>
  <si>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</si>
  <si>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</si>
  <si>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</si>
  <si>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</si>
  <si>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</si>
  <si>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</si>
  <si>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</si>
  <si>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</si>
  <si>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</si>
  <si>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</si>
  <si>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</si>
  <si>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</si>
  <si>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</si>
  <si>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</si>
  <si>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</si>
  <si>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</si>
  <si>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</si>
  <si>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</si>
  <si>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</si>
  <si>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</si>
  <si>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</si>
  <si>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</si>
  <si>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</si>
  <si>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</si>
  <si>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</si>
  <si>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</si>
  <si>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</si>
  <si>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</si>
  <si>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</si>
  <si>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</si>
  <si>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</si>
  <si>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</si>
  <si>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</si>
  <si>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</si>
  <si>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</si>
  <si>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</si>
  <si>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</si>
  <si>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</si>
  <si>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</si>
  <si>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</si>
  <si>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</si>
  <si>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</si>
  <si>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</si>
  <si>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</si>
  <si>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</si>
  <si>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</si>
  <si>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</si>
  <si>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</si>
  <si>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</si>
  <si>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</si>
  <si>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</si>
  <si>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</si>
  <si>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</si>
  <si>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</si>
  <si>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</si>
  <si>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</si>
  <si>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</si>
  <si>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</si>
  <si>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</si>
  <si>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</si>
  <si>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</si>
  <si>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</si>
  <si>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</si>
  <si>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</si>
  <si>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</si>
  <si>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</si>
  <si>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</si>
  <si>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</si>
  <si>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</si>
  <si>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</si>
  <si>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</si>
  <si>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</si>
  <si>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</si>
  <si>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</si>
  <si>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</si>
  <si>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</si>
  <si>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</si>
  <si>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</si>
  <si>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</si>
  <si>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</si>
  <si>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</si>
  <si>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</si>
  <si>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</si>
  <si>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</si>
  <si>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</si>
  <si>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</si>
  <si>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</si>
  <si>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</si>
  <si>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</si>
  <si>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</si>
  <si>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</si>
  <si>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</si>
  <si>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</si>
  <si>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</si>
  <si>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</si>
  <si>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</si>
  <si>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</si>
  <si>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</si>
  <si>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</si>
  <si>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</si>
  <si>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</si>
  <si>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</si>
  <si>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</si>
  <si>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</si>
  <si>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</si>
  <si>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</si>
  <si>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</si>
  <si>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</si>
  <si>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</si>
  <si>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</si>
  <si>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</si>
  <si>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</si>
  <si>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</si>
  <si>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</si>
  <si>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</si>
  <si>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</si>
  <si>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</si>
  <si>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</si>
  <si>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</si>
  <si>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</si>
  <si>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</si>
  <si>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</si>
  <si>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</si>
  <si>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</si>
  <si>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</si>
  <si>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</si>
  <si>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</si>
  <si>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</si>
  <si>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</si>
  <si>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</si>
  <si>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</si>
  <si>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</si>
  <si>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</si>
  <si>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</si>
  <si>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</si>
  <si>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</si>
  <si>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</si>
  <si>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</si>
  <si>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</si>
  <si>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</si>
  <si>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</si>
  <si>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</si>
  <si>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</si>
  <si>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</si>
  <si>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</si>
  <si>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</si>
  <si>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</si>
  <si>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</si>
  <si>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</si>
  <si>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</si>
  <si>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</si>
  <si>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</si>
  <si>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</si>
  <si>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</si>
  <si>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</si>
  <si>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</si>
  <si>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</si>
  <si>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</si>
  <si>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</si>
  <si>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</si>
  <si>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</si>
  <si>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</si>
  <si>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</si>
  <si>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</si>
  <si>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</si>
  <si>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</si>
  <si>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</si>
  <si>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</si>
  <si>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</si>
  <si>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</si>
  <si>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</si>
  <si>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</si>
  <si>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</si>
  <si>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</si>
  <si>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</si>
  <si>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</si>
  <si>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</si>
  <si>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</si>
  <si>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</si>
  <si>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</si>
  <si>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</si>
  <si>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</si>
  <si>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</si>
  <si>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</si>
  <si>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</si>
  <si>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</si>
  <si>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</si>
  <si>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</si>
  <si>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</si>
  <si>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</si>
  <si>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</si>
  <si>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</si>
  <si>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</si>
  <si>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</si>
  <si>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</si>
  <si>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</si>
  <si>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</si>
  <si>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</si>
  <si>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</si>
  <si>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</si>
  <si>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</si>
  <si>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</si>
  <si>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</si>
  <si>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</si>
  <si>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</si>
  <si>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</si>
  <si>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</si>
  <si>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</si>
  <si>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</si>
  <si>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</si>
  <si>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</si>
  <si>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</si>
  <si>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</si>
  <si>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</si>
  <si>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</si>
  <si>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</si>
  <si>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</si>
  <si>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</si>
  <si>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</si>
  <si>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</si>
  <si>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</si>
  <si>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</si>
  <si>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</si>
  <si>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</si>
  <si>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</si>
  <si>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</si>
  <si>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</si>
  <si>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</si>
  <si>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</si>
  <si>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</si>
  <si>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</si>
  <si>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</si>
  <si>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</si>
  <si>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</si>
  <si>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</si>
  <si>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</si>
  <si>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</si>
  <si>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</si>
  <si>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</si>
  <si>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</si>
  <si>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</si>
  <si>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</si>
  <si>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</si>
  <si>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</si>
  <si>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</si>
  <si>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</si>
  <si>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</si>
  <si>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</si>
  <si>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</si>
  <si>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</si>
  <si>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</si>
  <si>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</si>
  <si>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</si>
  <si>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</si>
  <si>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</si>
  <si>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</si>
  <si>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</si>
  <si>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</si>
  <si>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</si>
  <si>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</si>
  <si>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</si>
  <si>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</si>
  <si>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</si>
  <si>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</si>
  <si>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</si>
  <si>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</si>
  <si>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</si>
  <si>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</si>
  <si>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</si>
  <si>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</si>
  <si>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</si>
  <si>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</si>
  <si>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</si>
  <si>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</si>
  <si>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</si>
  <si>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</si>
  <si>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</si>
  <si>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</si>
  <si>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</si>
  <si>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</si>
  <si>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</si>
  <si>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</si>
  <si>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</si>
  <si>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</si>
  <si>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</si>
  <si>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</si>
  <si>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</si>
  <si>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</si>
  <si>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</si>
  <si>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</si>
  <si>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</si>
  <si>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</si>
  <si>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</si>
  <si>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</si>
  <si>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</si>
  <si>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</si>
  <si>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</si>
  <si>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</si>
  <si>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</si>
  <si>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</si>
  <si>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</si>
  <si>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</si>
  <si>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</si>
  <si>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</si>
  <si>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</si>
  <si>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</si>
  <si>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</si>
  <si>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</si>
  <si>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</si>
  <si>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</si>
  <si>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</si>
  <si>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</si>
  <si>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</si>
  <si>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</si>
  <si>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</si>
  <si>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</si>
  <si>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</si>
  <si>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</si>
  <si>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</si>
  <si>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</si>
  <si>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</si>
  <si>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</si>
  <si>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</si>
  <si>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</si>
  <si>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</si>
  <si>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</si>
  <si>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</si>
  <si>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</si>
  <si>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</si>
  <si>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</si>
  <si>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</si>
  <si>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</si>
  <si>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</si>
  <si>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</si>
  <si>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</si>
  <si>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</si>
  <si>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</si>
  <si>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</si>
  <si>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</si>
  <si>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</si>
  <si>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</si>
  <si>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</si>
  <si>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</si>
  <si>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</si>
  <si>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</si>
  <si>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</si>
  <si>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</si>
  <si>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</si>
  <si>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</si>
  <si>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</si>
  <si>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</si>
  <si>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</si>
  <si>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</si>
  <si>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</si>
  <si>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</si>
  <si>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</si>
  <si>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</si>
  <si>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</si>
  <si>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</si>
  <si>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</si>
  <si>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</si>
  <si>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</si>
  <si>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</si>
  <si>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</si>
  <si>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</si>
  <si>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</si>
  <si>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</si>
  <si>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</si>
  <si>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</si>
  <si>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</si>
  <si>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</si>
  <si>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</si>
  <si>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</si>
  <si>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</si>
  <si>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</si>
  <si>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</si>
  <si>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</si>
  <si>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</si>
  <si>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</si>
  <si>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</si>
  <si>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</si>
  <si>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</si>
  <si>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</si>
  <si>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</si>
  <si>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</si>
  <si>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</si>
  <si>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</si>
  <si>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</si>
  <si>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</si>
  <si>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</si>
  <si>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</si>
  <si>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</si>
  <si>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</si>
  <si>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</si>
  <si>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</si>
  <si>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</si>
  <si>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</si>
  <si>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</si>
  <si>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</si>
  <si>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</si>
  <si>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</si>
  <si>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</si>
  <si>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</si>
  <si>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</si>
  <si>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</si>
  <si>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</si>
  <si>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</si>
  <si>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</si>
  <si>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</si>
  <si>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</si>
  <si>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</si>
  <si>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</si>
  <si>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</si>
  <si>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</si>
  <si>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</si>
  <si>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</si>
  <si>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</si>
  <si>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</si>
  <si>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</si>
  <si>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</si>
  <si>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</si>
  <si>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</si>
  <si>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</si>
  <si>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</si>
  <si>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</si>
  <si>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</si>
  <si>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</si>
  <si>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</si>
  <si>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</si>
  <si>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</si>
  <si>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</si>
  <si>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</si>
  <si>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</si>
  <si>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</si>
  <si>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</si>
  <si>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</si>
  <si>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</si>
  <si>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</si>
  <si>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</si>
  <si>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</si>
  <si>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</si>
  <si>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</si>
  <si>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</si>
  <si>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</si>
  <si>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</si>
  <si>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</si>
  <si>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</si>
  <si>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</si>
  <si>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</si>
  <si>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</si>
  <si>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</si>
  <si>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</si>
  <si>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</si>
  <si>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</si>
  <si>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</si>
  <si>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</si>
  <si>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</si>
  <si>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</si>
  <si>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</si>
  <si>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</si>
  <si>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</si>
  <si>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</si>
  <si>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</si>
  <si>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</si>
  <si>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</si>
  <si>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</si>
  <si>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</si>
  <si>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</si>
  <si>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</si>
  <si>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</si>
  <si>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</si>
  <si>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</si>
  <si>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</si>
  <si>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</si>
  <si>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</si>
  <si>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</si>
  <si>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</si>
  <si>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</si>
  <si>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</si>
  <si>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</si>
  <si>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</si>
  <si>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</si>
  <si>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</si>
  <si>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</si>
  <si>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</si>
  <si>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</si>
  <si>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</si>
  <si>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</si>
  <si>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</si>
  <si>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</si>
  <si>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</si>
  <si>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</si>
  <si>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</si>
  <si>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</si>
  <si>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</si>
  <si>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</si>
  <si>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</si>
  <si>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</si>
  <si>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</si>
  <si>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</si>
  <si>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</si>
  <si>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</si>
  <si>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</si>
  <si>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</si>
  <si>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</si>
  <si>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</si>
  <si>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</si>
  <si>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</si>
  <si>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</si>
  <si>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</si>
  <si>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</si>
  <si>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</si>
  <si>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</si>
  <si>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</si>
  <si>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</si>
  <si>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</si>
  <si>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</si>
  <si>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</si>
  <si>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</si>
  <si>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</si>
  <si>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</si>
  <si>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</si>
  <si>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</si>
  <si>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</si>
  <si>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</si>
  <si>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</si>
  <si>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</si>
  <si>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</si>
  <si>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</si>
  <si>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</si>
  <si>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</si>
  <si>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</si>
  <si>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</si>
  <si>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</si>
  <si>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</si>
  <si>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</si>
  <si>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</si>
  <si>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</si>
  <si>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</si>
  <si>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</si>
  <si>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</si>
  <si>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</si>
  <si>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</si>
  <si>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</si>
  <si>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</si>
  <si>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</si>
  <si>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</si>
  <si>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</si>
  <si>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</si>
  <si>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</si>
  <si>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</si>
  <si>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</si>
  <si>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</si>
  <si>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</si>
  <si>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</si>
  <si>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</si>
  <si>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</si>
  <si>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</si>
  <si>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</si>
  <si>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</si>
  <si>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</si>
  <si>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</si>
  <si>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</si>
  <si>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</si>
  <si>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</si>
  <si>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</si>
  <si>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</si>
  <si>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</si>
  <si>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</si>
  <si>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</si>
  <si>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</si>
  <si>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</si>
  <si>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</si>
  <si>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</si>
  <si>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</si>
  <si>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</si>
  <si>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</si>
  <si>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</si>
  <si>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</si>
  <si>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</si>
  <si>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</si>
  <si>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</si>
  <si>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</si>
  <si>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</si>
  <si>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</si>
  <si>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</si>
  <si>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</si>
  <si>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</si>
  <si>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</si>
  <si>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</si>
  <si>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</si>
  <si>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</si>
  <si>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</si>
  <si>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</si>
  <si>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</si>
  <si>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</si>
  <si>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</si>
  <si>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</si>
  <si>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</si>
  <si>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</si>
  <si>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</si>
  <si>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</si>
  <si>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</si>
  <si>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</si>
  <si>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</si>
  <si>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</si>
  <si>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</si>
  <si>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</si>
  <si>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</si>
  <si>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</si>
  <si>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</si>
  <si>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</si>
  <si>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</si>
  <si>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</si>
  <si>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</si>
  <si>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</si>
  <si>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</si>
  <si>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</si>
  <si>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</si>
  <si>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</si>
  <si>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</si>
  <si>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</si>
  <si>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</si>
  <si>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</si>
  <si>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</si>
  <si>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</si>
  <si>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</si>
  <si>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</si>
  <si>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</si>
  <si>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</si>
  <si>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</si>
  <si>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</si>
  <si>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</si>
  <si>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</si>
  <si>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</si>
  <si>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</si>
  <si>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</si>
  <si>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</si>
  <si>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</si>
  <si>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</si>
  <si>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</si>
  <si>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</si>
  <si>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</si>
  <si>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</si>
  <si>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</si>
  <si>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</si>
  <si>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</si>
  <si>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</si>
  <si>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</si>
  <si>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</si>
  <si>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</si>
  <si>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</si>
  <si>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</si>
  <si>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</si>
  <si>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</si>
  <si>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</si>
  <si>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</si>
  <si>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</si>
  <si>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</si>
  <si>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</si>
  <si>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</si>
  <si>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</si>
  <si>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</si>
  <si>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</si>
  <si>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</si>
  <si>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</si>
  <si>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</si>
  <si>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</si>
  <si>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</si>
  <si>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</si>
  <si>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</si>
  <si>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</si>
  <si>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</si>
  <si>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</si>
  <si>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</si>
  <si>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</si>
  <si>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</si>
  <si>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</si>
  <si>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</si>
  <si>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</si>
  <si>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</si>
  <si>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</si>
  <si>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</si>
  <si>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</si>
  <si>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</si>
  <si>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</si>
  <si>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</si>
  <si>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</si>
  <si>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</si>
  <si>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</si>
  <si>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</si>
  <si>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</si>
  <si>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</si>
  <si>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</si>
  <si>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</si>
  <si>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</si>
  <si>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</si>
  <si>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</si>
  <si>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</si>
  <si>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</si>
  <si>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</si>
  <si>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</si>
  <si>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</si>
  <si>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</si>
  <si>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</si>
  <si>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</si>
  <si>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</si>
  <si>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</si>
  <si>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</si>
  <si>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</si>
  <si>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</si>
  <si>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</si>
  <si>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</si>
  <si>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</si>
  <si>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</si>
  <si>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</si>
  <si>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</si>
  <si>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</si>
  <si>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</si>
  <si>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</si>
  <si>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</si>
  <si>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</si>
  <si>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</si>
  <si>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</si>
  <si>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</si>
  <si>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</si>
  <si>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</si>
  <si>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</si>
  <si>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</si>
  <si>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</si>
  <si>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</si>
  <si>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</si>
  <si>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</si>
  <si>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</si>
  <si>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</si>
  <si>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</si>
  <si>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</si>
  <si>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</si>
  <si>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</si>
  <si>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</si>
  <si>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</si>
  <si>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</si>
  <si>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</si>
  <si>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</si>
  <si>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</si>
  <si>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</si>
  <si>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</si>
  <si>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</si>
  <si>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</si>
  <si>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</si>
  <si>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</si>
  <si>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</si>
  <si>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</si>
  <si>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</si>
  <si>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</si>
  <si>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</si>
  <si>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</si>
  <si>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</si>
  <si>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</si>
  <si>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</si>
  <si>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</si>
  <si>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</si>
  <si>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</si>
  <si>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</si>
  <si>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</si>
  <si>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</si>
  <si>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</si>
  <si>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</si>
  <si>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</si>
  <si>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</si>
  <si>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</si>
  <si>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</si>
  <si>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</si>
  <si>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</si>
  <si>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</si>
  <si>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</si>
  <si>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</si>
  <si>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</si>
  <si>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</si>
  <si>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</si>
  <si>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</si>
  <si>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</si>
  <si>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</si>
  <si>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</si>
  <si>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</si>
  <si>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</si>
  <si>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</si>
  <si>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</si>
  <si>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</si>
  <si>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</si>
  <si>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</si>
  <si>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</si>
  <si>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</si>
  <si>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</si>
  <si>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</si>
  <si>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</si>
  <si>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</si>
  <si>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</si>
  <si>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</si>
  <si>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</si>
  <si>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</si>
  <si>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</si>
  <si>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</si>
  <si>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</si>
  <si>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</si>
  <si>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</si>
  <si>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</si>
  <si>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</si>
  <si>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</si>
  <si>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</si>
  <si>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</si>
  <si>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</si>
  <si>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</si>
  <si>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</si>
  <si>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</si>
  <si>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</si>
  <si>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</si>
  <si>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</si>
  <si>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</si>
  <si>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</si>
  <si>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</si>
  <si>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</si>
  <si>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</si>
  <si>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</si>
  <si>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</si>
  <si>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</si>
  <si>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</si>
  <si>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</si>
  <si>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</si>
  <si>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</si>
  <si>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</si>
  <si>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</si>
  <si>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</si>
  <si>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</si>
  <si>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</si>
  <si>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</si>
  <si>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</si>
  <si>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</si>
  <si>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</si>
  <si>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</si>
  <si>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</si>
  <si>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</si>
  <si>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</si>
  <si>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</si>
  <si>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</si>
  <si>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</si>
  <si>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</si>
  <si>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</si>
  <si>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</si>
  <si>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</si>
  <si>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</si>
  <si>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</si>
  <si>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</si>
  <si>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</si>
  <si>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</si>
  <si>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</si>
  <si>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</si>
  <si>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</si>
  <si>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</si>
  <si>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</si>
  <si>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</si>
  <si>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</si>
  <si>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</si>
  <si>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</si>
  <si>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</si>
  <si>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</si>
  <si>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</si>
  <si>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</si>
  <si>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</si>
  <si>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</si>
  <si>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</si>
  <si>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</si>
  <si>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</si>
  <si>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</si>
  <si>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</si>
  <si>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</si>
  <si>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</si>
  <si>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</si>
  <si>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</si>
  <si>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</si>
  <si>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</si>
  <si>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</si>
  <si>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</si>
  <si>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</si>
  <si>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</si>
  <si>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</si>
  <si>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</si>
  <si>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</si>
  <si>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</si>
  <si>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</si>
  <si>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</si>
  <si>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</si>
  <si>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</si>
  <si>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</si>
  <si>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</si>
  <si>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</si>
  <si>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</si>
  <si>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</si>
  <si>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</si>
  <si>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</si>
  <si>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</si>
  <si>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</si>
  <si>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</si>
  <si>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</si>
  <si>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</si>
  <si>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</si>
  <si>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</si>
  <si>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</si>
  <si>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</si>
  <si>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</si>
  <si>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</si>
  <si>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</si>
  <si>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</si>
  <si>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</si>
  <si>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</si>
  <si>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</si>
  <si>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</si>
  <si>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</si>
  <si>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</si>
  <si>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</si>
  <si>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</si>
  <si>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</si>
  <si>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</si>
  <si>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</si>
  <si>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</si>
  <si>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</si>
  <si>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</si>
  <si>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</si>
  <si>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</si>
  <si>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</si>
  <si>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</si>
  <si>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</si>
  <si>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</si>
  <si>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</si>
  <si>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</si>
  <si>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</si>
  <si>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</si>
  <si>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</si>
  <si>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</si>
  <si>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</si>
  <si>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</si>
  <si>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</si>
  <si>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</si>
  <si>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</si>
  <si>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</si>
  <si>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</si>
  <si>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</si>
  <si>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</si>
  <si>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</si>
  <si>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</si>
  <si>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</si>
  <si>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</si>
  <si>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</si>
  <si>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</si>
  <si>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</si>
  <si>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</si>
  <si>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</si>
  <si>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</si>
  <si>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</si>
  <si>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</si>
  <si>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</si>
  <si>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</si>
  <si>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</si>
  <si>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</si>
  <si>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</si>
  <si>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</si>
  <si>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</si>
  <si>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</si>
  <si>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</si>
  <si>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</si>
  <si>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</si>
  <si>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</si>
  <si>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</si>
  <si>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</si>
  <si>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</si>
  <si>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</si>
  <si>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</si>
  <si>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</si>
  <si>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</si>
  <si>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</si>
  <si>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</si>
  <si>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</si>
  <si>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</si>
  <si>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</si>
  <si>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</si>
  <si>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</si>
  <si>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</si>
  <si>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</si>
  <si>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</si>
  <si>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</si>
  <si>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</si>
  <si>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</si>
  <si>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</si>
  <si>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</si>
  <si>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</si>
  <si>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</si>
  <si>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</si>
  <si>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</si>
  <si>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</si>
  <si>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</si>
  <si>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</si>
  <si>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</si>
  <si>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</si>
  <si>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</si>
  <si>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</si>
  <si>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</si>
  <si>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</si>
  <si>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</si>
  <si>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</si>
  <si>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</si>
  <si>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</si>
  <si>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</si>
  <si>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</si>
  <si>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</si>
  <si>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</si>
  <si>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</si>
  <si>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</si>
  <si>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</si>
  <si>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</si>
  <si>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</si>
  <si>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</si>
  <si>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</si>
  <si>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</si>
  <si>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</si>
  <si>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</si>
  <si>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</si>
  <si>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</si>
  <si>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</si>
  <si>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</si>
  <si>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</si>
  <si>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</si>
  <si>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</si>
  <si>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</si>
  <si>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</si>
  <si>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</si>
  <si>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</si>
  <si>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</si>
  <si>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</si>
  <si>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</si>
  <si>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</si>
  <si>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</si>
  <si>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</si>
  <si>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</si>
  <si>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</si>
  <si>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</si>
  <si>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</si>
  <si>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</si>
  <si>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</si>
  <si>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</si>
  <si>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</si>
  <si>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</si>
  <si>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</si>
  <si>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</si>
  <si>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</si>
  <si>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</si>
  <si>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</si>
  <si>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</si>
  <si>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</si>
  <si>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</si>
  <si>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</si>
  <si>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</si>
  <si>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</si>
  <si>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</si>
  <si>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</si>
  <si>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</si>
  <si>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</si>
  <si>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</si>
  <si>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</si>
  <si>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</si>
  <si>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</si>
  <si>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</si>
  <si>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</si>
  <si>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</si>
  <si>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</si>
  <si>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</si>
  <si>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</si>
  <si>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</si>
  <si>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</si>
  <si>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</si>
  <si>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</si>
  <si>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</si>
  <si>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</si>
  <si>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</si>
  <si>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</si>
  <si>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</si>
  <si>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</si>
  <si>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</si>
  <si>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</si>
  <si>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</si>
  <si>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</si>
  <si>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</si>
  <si>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</si>
  <si>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</si>
  <si>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</si>
  <si>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</si>
  <si>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</si>
  <si>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</si>
  <si>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</si>
  <si>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</si>
  <si>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</si>
  <si>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</si>
  <si>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</si>
  <si>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</si>
  <si>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</si>
  <si>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</si>
  <si>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</si>
  <si>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</si>
  <si>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</si>
  <si>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</si>
  <si>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</si>
  <si>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</si>
  <si>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</si>
  <si>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</si>
  <si>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</si>
  <si>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</si>
  <si>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</si>
  <si>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</si>
  <si>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</si>
  <si>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</si>
  <si>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</si>
  <si>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</si>
  <si>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</si>
  <si>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</si>
  <si>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</si>
  <si>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</si>
  <si>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</si>
  <si>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</si>
  <si>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</si>
  <si>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</si>
  <si>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</si>
  <si>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</si>
  <si>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</si>
  <si>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</si>
  <si>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</si>
  <si>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</si>
  <si>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</si>
  <si>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</si>
  <si>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</si>
  <si>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</si>
  <si>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</si>
  <si>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</si>
  <si>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</si>
  <si>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</si>
  <si>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</si>
  <si>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</si>
  <si>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</si>
  <si>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</si>
  <si>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</si>
  <si>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</si>
  <si>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</si>
  <si>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</si>
  <si>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</si>
  <si>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</si>
  <si>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</si>
  <si>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</si>
  <si>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</si>
  <si>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</si>
  <si>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</si>
  <si>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</si>
  <si>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</si>
  <si>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</si>
  <si>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</si>
  <si>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</si>
  <si>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</si>
  <si>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</si>
  <si>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</si>
  <si>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</si>
  <si>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</si>
  <si>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</si>
  <si>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</si>
  <si>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</si>
  <si>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</si>
  <si>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</si>
  <si>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</si>
  <si>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</si>
  <si>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</si>
  <si>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</si>
  <si>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</si>
  <si>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</si>
  <si>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</si>
  <si>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</si>
  <si>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</si>
  <si>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</si>
  <si>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</si>
  <si>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</si>
  <si>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</si>
  <si>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</si>
  <si>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</si>
  <si>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</si>
  <si>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</si>
  <si>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</si>
  <si>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</si>
  <si>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</si>
  <si>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</si>
  <si>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</si>
  <si>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</si>
  <si>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</si>
  <si>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</si>
  <si>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</si>
  <si>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</si>
  <si>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</si>
  <si>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</si>
  <si>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</si>
  <si>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</si>
  <si>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</si>
  <si>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</si>
  <si>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</si>
  <si>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</si>
  <si>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</si>
  <si>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</si>
  <si>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</si>
  <si>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</si>
  <si>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</si>
  <si>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</si>
  <si>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</si>
  <si>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</si>
  <si>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</si>
  <si>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</si>
  <si>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</si>
  <si>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</si>
  <si>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</si>
  <si>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</si>
  <si>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</si>
  <si>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</si>
  <si>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</si>
  <si>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</si>
  <si>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</si>
  <si>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</si>
  <si>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</si>
  <si>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</si>
  <si>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</si>
  <si>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</si>
  <si>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</si>
  <si>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</si>
  <si>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</si>
  <si>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</si>
  <si>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</si>
  <si>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</si>
  <si>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</si>
  <si>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</si>
  <si>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</si>
  <si>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</si>
  <si>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</si>
  <si>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</si>
  <si>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</si>
  <si>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</si>
  <si>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</si>
  <si>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</si>
  <si>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</si>
  <si>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</si>
  <si>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</si>
  <si>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</si>
  <si>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</si>
  <si>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</si>
  <si>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</si>
  <si>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</si>
  <si>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</si>
  <si>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</si>
  <si>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</si>
  <si>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</si>
  <si>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</si>
  <si>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</si>
  <si>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</si>
  <si>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</si>
  <si>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</si>
  <si>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</si>
  <si>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</si>
  <si>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</si>
  <si>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</si>
  <si>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</si>
  <si>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</si>
  <si>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</si>
  <si>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</si>
  <si>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</si>
  <si>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</si>
  <si>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</si>
  <si>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</si>
  <si>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</si>
  <si>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</si>
  <si>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</si>
  <si>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</si>
  <si>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</si>
  <si>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</si>
  <si>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</si>
  <si>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</si>
  <si>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</si>
  <si>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</si>
  <si>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</si>
  <si>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</si>
  <si>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</si>
  <si>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</si>
  <si>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</si>
  <si>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</si>
  <si>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</si>
  <si>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</si>
  <si>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</si>
  <si>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</si>
  <si>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</si>
  <si>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</si>
  <si>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</si>
  <si>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</si>
  <si>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</si>
  <si>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</si>
  <si>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</si>
  <si>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</si>
  <si>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</si>
  <si>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</si>
  <si>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</si>
  <si>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</si>
  <si>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</si>
  <si>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</si>
  <si>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</si>
  <si>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</si>
  <si>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</si>
  <si>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</si>
  <si>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</si>
  <si>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</si>
  <si>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</si>
  <si>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</si>
  <si>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</si>
  <si>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</si>
  <si>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</si>
  <si>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</si>
  <si>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</si>
  <si>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</si>
  <si>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</si>
  <si>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</si>
  <si>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</si>
  <si>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</si>
  <si>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</si>
  <si>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</si>
  <si>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</si>
  <si>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</si>
  <si>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</si>
  <si>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</si>
  <si>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</si>
  <si>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</si>
  <si>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</si>
  <si>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</si>
  <si>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</si>
  <si>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</si>
  <si>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</si>
  <si>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</si>
  <si>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</si>
  <si>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</si>
  <si>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</si>
  <si>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</si>
  <si>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</si>
  <si>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</si>
  <si>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</si>
  <si>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</si>
  <si>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</si>
  <si>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</si>
  <si>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</si>
  <si>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</si>
  <si>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</si>
  <si>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</si>
  <si>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</si>
  <si>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</si>
  <si>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</si>
  <si>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</si>
  <si>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</si>
  <si>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</si>
  <si>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</si>
  <si>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</si>
  <si>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</si>
  <si>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</si>
  <si>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</si>
  <si>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</si>
  <si>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</si>
  <si>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</si>
  <si>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</si>
  <si>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</si>
  <si>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</si>
  <si>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</si>
  <si>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</si>
  <si>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</si>
  <si>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</si>
  <si>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</si>
  <si>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</si>
  <si>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</si>
  <si>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</si>
  <si>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</si>
  <si>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</si>
  <si>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</si>
  <si>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</si>
  <si>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</si>
  <si>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</si>
  <si>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</si>
  <si>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</si>
  <si>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</si>
  <si>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</si>
  <si>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</si>
  <si>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</si>
  <si>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</si>
  <si>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</si>
  <si>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</si>
  <si>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</si>
  <si>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</si>
  <si>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</si>
  <si>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</si>
  <si>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</si>
  <si>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</si>
  <si>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</si>
  <si>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</si>
  <si>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</si>
  <si>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</si>
  <si>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</si>
  <si>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</si>
  <si>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</si>
  <si>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</si>
  <si>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</si>
  <si>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</si>
  <si>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</si>
  <si>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</si>
  <si>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</si>
  <si>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</si>
  <si>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</si>
  <si>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</si>
  <si>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</si>
  <si>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</si>
  <si>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</si>
  <si>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</si>
  <si>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</si>
  <si>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</si>
  <si>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</si>
  <si>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</si>
  <si>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</si>
  <si>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</si>
  <si>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</si>
  <si>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</si>
  <si>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</si>
  <si>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</si>
  <si>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</si>
  <si>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</si>
  <si>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</si>
  <si>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</si>
  <si>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</si>
  <si>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</si>
  <si>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</si>
  <si>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</si>
  <si>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</si>
  <si>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</si>
  <si>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</si>
  <si>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</si>
  <si>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</si>
  <si>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</si>
  <si>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</si>
  <si>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</si>
  <si>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</si>
  <si>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</si>
  <si>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</si>
  <si>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</si>
  <si>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</si>
  <si>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</si>
  <si>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</si>
  <si>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</si>
  <si>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</si>
  <si>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</si>
  <si>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</si>
  <si>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</si>
  <si>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</si>
  <si>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</si>
  <si>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</si>
  <si>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</si>
  <si>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</si>
  <si>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</si>
  <si>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</si>
  <si>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</si>
  <si>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</si>
  <si>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</si>
  <si>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</si>
  <si>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</si>
  <si>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</si>
  <si>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</si>
  <si>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</si>
  <si>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</si>
  <si>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</si>
  <si>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</si>
  <si>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</si>
  <si>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</si>
  <si>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</si>
  <si>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</si>
  <si>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</si>
  <si>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</si>
  <si>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</si>
  <si>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</si>
  <si>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</si>
  <si>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</si>
  <si>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</si>
  <si>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</si>
  <si>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</si>
  <si>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</si>
  <si>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</si>
  <si>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</si>
  <si>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</si>
  <si>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</si>
  <si>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</si>
  <si>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</si>
  <si>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</si>
  <si>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</si>
  <si>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</si>
  <si>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</si>
  <si>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</si>
  <si>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</si>
  <si>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</si>
  <si>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</si>
  <si>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</si>
  <si>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</si>
  <si>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</si>
  <si>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</si>
  <si>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</si>
  <si>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</si>
  <si>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</si>
  <si>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</si>
  <si>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</si>
  <si>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</si>
  <si>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</si>
  <si>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</si>
  <si>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</si>
  <si>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</si>
  <si>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</si>
  <si>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</si>
  <si>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</si>
  <si>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</si>
  <si>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</si>
  <si>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</si>
  <si>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</si>
  <si>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</si>
  <si>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</si>
  <si>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</si>
  <si>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</si>
  <si>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</si>
  <si>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</si>
  <si>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</si>
  <si>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</si>
  <si>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</si>
  <si>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</si>
  <si>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</si>
  <si>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</si>
  <si>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</si>
  <si>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</si>
  <si>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</si>
  <si>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</si>
  <si>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</si>
  <si>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</si>
  <si>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</si>
  <si>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</si>
  <si>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</si>
  <si>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</si>
  <si>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</si>
  <si>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</si>
  <si>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</si>
  <si>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</si>
  <si>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</si>
  <si>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</si>
  <si>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</si>
  <si>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</si>
  <si>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</si>
  <si>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</si>
  <si>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</si>
  <si>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</si>
  <si>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</si>
  <si>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</si>
  <si>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</si>
  <si>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</si>
  <si>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</si>
  <si>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</si>
  <si>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</si>
  <si>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</si>
  <si>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</si>
  <si>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</si>
  <si>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</si>
  <si>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</si>
  <si>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</si>
  <si>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</si>
  <si>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</si>
  <si>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</si>
  <si>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</si>
  <si>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</si>
  <si>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</si>
  <si>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</si>
  <si>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</si>
  <si>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</si>
  <si>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</si>
  <si>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</si>
  <si>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</si>
  <si>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</si>
  <si>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</si>
  <si>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</si>
  <si>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</si>
  <si>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</si>
  <si>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</si>
  <si>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</si>
  <si>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</si>
  <si>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</si>
  <si>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</si>
  <si>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</si>
  <si>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</si>
  <si>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</si>
  <si>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</si>
  <si>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</si>
  <si>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</si>
  <si>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</si>
  <si>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</si>
  <si>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</si>
  <si>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</si>
  <si>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</si>
  <si>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</si>
  <si>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</si>
  <si>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</si>
  <si>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</si>
  <si>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</si>
  <si>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</si>
  <si>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</si>
  <si>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</si>
  <si>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</si>
  <si>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</si>
  <si>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</si>
  <si>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</si>
  <si>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</si>
  <si>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</si>
  <si>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</si>
  <si>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</si>
  <si>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</si>
  <si>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</si>
  <si>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</si>
  <si>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</si>
  <si>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</si>
  <si>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</si>
  <si>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</si>
  <si>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</si>
  <si>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</si>
  <si>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</si>
  <si>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</si>
  <si>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</si>
  <si>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</si>
  <si>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</si>
  <si>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</si>
  <si>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</si>
  <si>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</si>
  <si>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</si>
  <si>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</si>
  <si>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</si>
  <si>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</si>
  <si>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</si>
  <si>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</si>
  <si>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</si>
  <si>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</si>
  <si>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</si>
  <si>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</si>
  <si>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</si>
  <si>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</si>
  <si>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</si>
  <si>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</si>
  <si>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</si>
  <si>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</si>
  <si>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</si>
  <si>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</si>
  <si>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</si>
  <si>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</si>
  <si>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</si>
  <si>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</si>
  <si>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</si>
  <si>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</si>
  <si>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</si>
  <si>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</si>
  <si>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</si>
  <si>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</si>
  <si>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</si>
  <si>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</si>
  <si>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</si>
  <si>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</si>
  <si>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</si>
  <si>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</si>
  <si>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</si>
  <si>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</si>
  <si>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</si>
  <si>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</si>
  <si>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</si>
  <si>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</si>
  <si>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</si>
  <si>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</si>
  <si>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</si>
  <si>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</si>
  <si>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</si>
  <si>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</si>
  <si>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</si>
  <si>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</si>
  <si>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</si>
  <si>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</si>
  <si>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</si>
  <si>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</si>
  <si>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</si>
  <si>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</si>
  <si>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</si>
  <si>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</si>
  <si>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</si>
  <si>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</si>
  <si>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</si>
  <si>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</si>
  <si>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</si>
  <si>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</si>
  <si>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</si>
  <si>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</si>
  <si>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</si>
  <si>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</si>
  <si>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</si>
  <si>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</si>
  <si>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</si>
  <si>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</si>
  <si>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</si>
  <si>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</si>
  <si>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</si>
  <si>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</si>
  <si>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</si>
  <si>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</si>
  <si>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</si>
  <si>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</si>
  <si>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</si>
  <si>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</si>
  <si>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</si>
  <si>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</si>
  <si>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</si>
  <si>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</si>
  <si>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</si>
  <si>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</si>
  <si>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</si>
  <si>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</si>
  <si>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</si>
  <si>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</si>
  <si>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</si>
  <si>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</si>
  <si>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</si>
  <si>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</si>
  <si>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</si>
  <si>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</si>
  <si>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</si>
  <si>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</si>
  <si>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</si>
  <si>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</si>
  <si>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</si>
  <si>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</si>
  <si>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</si>
  <si>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</si>
  <si>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</si>
  <si>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</si>
  <si>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</si>
  <si>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</si>
  <si>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</si>
  <si>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</si>
  <si>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</si>
  <si>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</si>
  <si>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</si>
  <si>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</si>
  <si>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</si>
  <si>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</si>
  <si>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</si>
  <si>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</si>
  <si>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</si>
  <si>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</si>
  <si>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</si>
  <si>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</si>
  <si>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</si>
  <si>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</si>
  <si>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</si>
  <si>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</si>
  <si>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</si>
  <si>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</si>
  <si>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</si>
  <si>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</si>
  <si>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</si>
  <si>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</si>
  <si>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</si>
  <si>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</si>
  <si>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</si>
  <si>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</si>
  <si>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</si>
  <si>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</si>
  <si>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</si>
  <si>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</si>
  <si>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</si>
  <si>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</si>
  <si>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</si>
  <si>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</si>
  <si>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</si>
  <si>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</si>
  <si>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</si>
  <si>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</si>
  <si>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</si>
  <si>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</si>
  <si>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</si>
  <si>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</si>
  <si>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</si>
  <si>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</si>
  <si>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</si>
  <si>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</si>
  <si>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</si>
  <si>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</si>
  <si>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</si>
  <si>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</si>
  <si>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</si>
  <si>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</si>
  <si>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</si>
  <si>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</si>
  <si>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</si>
  <si>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</si>
  <si>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</si>
  <si>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</si>
  <si>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</si>
  <si>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</si>
  <si>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</si>
  <si>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</si>
  <si>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</si>
  <si>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</si>
  <si>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</si>
  <si>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</si>
  <si>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</si>
  <si>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</si>
  <si>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</si>
  <si>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</si>
  <si>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</si>
  <si>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</si>
  <si>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</si>
  <si>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</si>
  <si>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</si>
  <si>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</si>
  <si>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</si>
  <si>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</si>
  <si>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</si>
  <si>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</si>
  <si>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</si>
  <si>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</si>
  <si>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</si>
  <si>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</si>
  <si>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</si>
  <si>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</si>
  <si>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</si>
  <si>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</si>
  <si>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</si>
  <si>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</si>
  <si>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</si>
  <si>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</si>
  <si>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</si>
  <si>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</si>
  <si>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</si>
  <si>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</si>
  <si>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</si>
  <si>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</si>
  <si>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</si>
  <si>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</si>
  <si>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</si>
  <si>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</si>
  <si>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</si>
  <si>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</si>
  <si>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</si>
  <si>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</si>
  <si>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</si>
  <si>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</si>
  <si>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</si>
  <si>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</si>
  <si>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</si>
  <si>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</si>
  <si>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</si>
  <si>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</si>
  <si>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</si>
  <si>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</si>
  <si>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</si>
  <si>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</si>
  <si>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</si>
  <si>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</si>
  <si>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</si>
  <si>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</si>
  <si>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</si>
  <si>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</si>
  <si>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</si>
  <si>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</si>
  <si>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</si>
  <si>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</si>
  <si>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</si>
  <si>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</si>
  <si>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</si>
  <si>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</si>
  <si>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</si>
  <si>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</si>
  <si>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</si>
  <si>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</si>
  <si>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</si>
  <si>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</si>
  <si>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</si>
  <si>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</si>
  <si>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</si>
  <si>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</si>
  <si>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</si>
  <si>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</si>
  <si>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</si>
  <si>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</si>
  <si>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</si>
  <si>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</si>
  <si>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</si>
  <si>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</si>
  <si>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</si>
  <si>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</si>
  <si>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</si>
  <si>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</si>
  <si>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</si>
  <si>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</si>
  <si>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</si>
  <si>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</si>
  <si>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</si>
  <si>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</si>
  <si>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</si>
  <si>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</si>
  <si>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</si>
  <si>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</si>
  <si>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</si>
  <si>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</si>
  <si>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</si>
  <si>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</si>
  <si>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</si>
  <si>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</si>
  <si>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</si>
  <si>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</si>
  <si>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</si>
  <si>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</si>
  <si>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</si>
  <si>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</si>
  <si>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</si>
  <si>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</si>
  <si>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</si>
  <si>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</si>
  <si>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</si>
  <si>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</si>
  <si>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</si>
  <si>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</si>
  <si>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</si>
  <si>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</si>
  <si>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</si>
  <si>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</si>
  <si>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</si>
  <si>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</si>
  <si>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</si>
  <si>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</si>
  <si>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</si>
  <si>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</si>
  <si>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</si>
  <si>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</si>
  <si>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</si>
  <si>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</si>
  <si>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</si>
  <si>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</si>
  <si>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</si>
  <si>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</si>
  <si>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</si>
  <si>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</si>
  <si>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</si>
  <si>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</si>
  <si>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</si>
  <si>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</si>
  <si>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</si>
  <si>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</si>
  <si>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</si>
  <si>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</si>
  <si>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</si>
  <si>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</si>
  <si>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</si>
  <si>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</si>
  <si>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</si>
  <si>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</si>
  <si>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</si>
  <si>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</si>
  <si>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</si>
  <si>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</si>
  <si>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</si>
  <si>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</si>
  <si>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</si>
  <si>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</si>
  <si>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</si>
  <si>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</si>
  <si>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</si>
  <si>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</si>
  <si>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</si>
  <si>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</si>
  <si>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</si>
  <si>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</si>
  <si>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</si>
  <si>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</si>
  <si>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</si>
  <si>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</si>
  <si>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</si>
  <si>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</si>
  <si>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</si>
  <si>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</si>
  <si>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</si>
  <si>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</si>
  <si>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</si>
  <si>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</si>
  <si>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</si>
  <si>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</si>
  <si>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</si>
  <si>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</si>
  <si>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</si>
  <si>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</si>
  <si>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</si>
  <si>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</si>
  <si>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</si>
  <si>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</si>
  <si>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</si>
  <si>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</si>
  <si>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</si>
  <si>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</si>
  <si>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</si>
  <si>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</si>
  <si>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</si>
  <si>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</si>
  <si>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</si>
  <si>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</si>
  <si>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</si>
  <si>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</si>
  <si>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</si>
  <si>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</si>
  <si>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</si>
  <si>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</si>
  <si>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</si>
  <si>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</si>
  <si>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</si>
  <si>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</si>
  <si>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</si>
  <si>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</si>
  <si>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</si>
  <si>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</si>
  <si>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</si>
  <si>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</si>
  <si>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</si>
  <si>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</si>
  <si>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</si>
  <si>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</si>
  <si>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</si>
  <si>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</si>
  <si>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</si>
  <si>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</si>
  <si>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</si>
  <si>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</si>
  <si>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</si>
  <si>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</si>
  <si>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</si>
  <si>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</si>
  <si>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</si>
  <si>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</si>
  <si>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</si>
  <si>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</si>
  <si>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</si>
  <si>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</si>
  <si>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</si>
  <si>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</si>
  <si>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</si>
  <si>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</si>
  <si>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</si>
  <si>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</si>
  <si>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</si>
  <si>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</si>
  <si>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</si>
  <si>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</si>
  <si>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</si>
  <si>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</si>
  <si>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</si>
  <si>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</si>
  <si>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</si>
  <si>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</si>
  <si>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</si>
  <si>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</si>
  <si>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</si>
  <si>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</si>
  <si>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</si>
  <si>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</si>
  <si>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</si>
  <si>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</si>
  <si>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</si>
  <si>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</si>
  <si>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</si>
  <si>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</si>
  <si>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</si>
  <si>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</si>
  <si>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</si>
  <si>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</si>
  <si>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</si>
  <si>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</si>
  <si>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</si>
  <si>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</si>
  <si>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</si>
  <si>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</si>
  <si>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</si>
  <si>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</si>
  <si>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</si>
  <si>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</si>
  <si>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</si>
  <si>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</si>
  <si>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</si>
  <si>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</si>
  <si>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</si>
  <si>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</si>
  <si>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</si>
  <si>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</si>
  <si>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</si>
  <si>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</si>
  <si>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</si>
  <si>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</si>
  <si>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</si>
  <si>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</si>
  <si>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</si>
  <si>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</si>
  <si>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</si>
  <si>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</si>
  <si>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</si>
  <si>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</si>
  <si>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</si>
  <si>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</si>
  <si>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</si>
  <si>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</si>
  <si>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</si>
  <si>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</si>
  <si>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</si>
  <si>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</si>
  <si>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</si>
  <si>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</si>
  <si>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</si>
  <si>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</si>
  <si>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</si>
  <si>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</si>
  <si>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</si>
  <si>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</si>
  <si>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</si>
  <si>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</si>
  <si>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</si>
  <si>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</si>
  <si>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</si>
  <si>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</si>
  <si>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</si>
  <si>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</si>
  <si>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</si>
  <si>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</si>
  <si>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</si>
  <si>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</si>
  <si>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</si>
  <si>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</si>
  <si>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</si>
  <si>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</si>
  <si>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</si>
  <si>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</si>
  <si>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</si>
  <si>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</si>
  <si>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</si>
  <si>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</si>
  <si>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</si>
  <si>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</si>
  <si>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</si>
  <si>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</si>
  <si>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</si>
  <si>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</si>
  <si>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</si>
  <si>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</si>
  <si>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</si>
  <si>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</si>
  <si>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</si>
  <si>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</si>
  <si>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</si>
  <si>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</si>
  <si>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</si>
  <si>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</si>
  <si>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</si>
  <si>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</si>
  <si>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</si>
  <si>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</si>
  <si>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</si>
  <si>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</si>
  <si>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</si>
  <si>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</si>
  <si>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</si>
  <si>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</si>
  <si>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</si>
  <si>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</si>
  <si>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</si>
  <si>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</si>
  <si>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</si>
  <si>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</si>
  <si>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</si>
  <si>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</si>
  <si>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</si>
  <si>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</si>
  <si>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</si>
  <si>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</si>
  <si>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</si>
  <si>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</si>
  <si>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</si>
  <si>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</si>
  <si>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</si>
  <si>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</si>
  <si>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</si>
  <si>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</si>
  <si>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</si>
  <si>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</si>
  <si>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</si>
  <si>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</si>
  <si>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</si>
  <si>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</si>
  <si>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</si>
  <si>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</si>
  <si>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</si>
  <si>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</si>
  <si>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</si>
  <si>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</si>
  <si>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</si>
  <si>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</si>
  <si>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</si>
  <si>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</si>
  <si>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</si>
  <si>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</si>
  <si>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</si>
  <si>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</si>
  <si>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</si>
  <si>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</si>
  <si>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</si>
  <si>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</si>
  <si>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</si>
  <si>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</si>
  <si>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</si>
  <si>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</si>
  <si>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</si>
  <si>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</si>
  <si>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</si>
  <si>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</si>
  <si>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</si>
  <si>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</si>
  <si>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</si>
  <si>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</si>
  <si>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</si>
  <si>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</si>
  <si>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</si>
  <si>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</si>
  <si>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</si>
  <si>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</si>
  <si>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</si>
  <si>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</si>
  <si>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</si>
  <si>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</si>
  <si>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</si>
  <si>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</si>
  <si>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</si>
  <si>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</si>
  <si>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</si>
  <si>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</si>
  <si>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</si>
  <si>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</si>
  <si>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</si>
  <si>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</si>
  <si>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</si>
  <si>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</si>
  <si>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</si>
  <si>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</si>
  <si>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</si>
  <si>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</si>
  <si>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</si>
  <si>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</si>
  <si>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</si>
  <si>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</si>
  <si>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</si>
  <si>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</si>
  <si>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</si>
  <si>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</si>
  <si>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</si>
  <si>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</si>
  <si>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</si>
  <si>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</si>
  <si>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</si>
  <si>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</si>
  <si>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</si>
  <si>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</si>
  <si>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</si>
  <si>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</si>
  <si>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</si>
  <si>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</si>
  <si>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</si>
  <si>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</si>
  <si>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</si>
  <si>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</si>
  <si>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</si>
  <si>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</si>
  <si>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</si>
  <si>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</si>
  <si>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</si>
  <si>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</si>
  <si>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</si>
  <si>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</si>
  <si>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</si>
  <si>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</si>
  <si>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</si>
  <si>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</si>
  <si>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</si>
  <si>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</si>
  <si>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</si>
  <si>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</si>
  <si>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</si>
  <si>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</si>
  <si>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</si>
  <si>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</si>
  <si>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</si>
  <si>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</si>
  <si>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</si>
  <si>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</si>
  <si>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</si>
  <si>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</si>
  <si>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</si>
  <si>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</si>
  <si>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</si>
  <si>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</si>
  <si>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</si>
  <si>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</si>
  <si>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</si>
  <si>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</si>
  <si>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</si>
  <si>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</si>
  <si>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</si>
  <si>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</si>
  <si>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</si>
  <si>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</si>
  <si>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</si>
  <si>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</si>
  <si>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</si>
  <si>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</si>
  <si>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</si>
  <si>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</si>
  <si>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</si>
  <si>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</si>
  <si>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</si>
  <si>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</si>
  <si>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</si>
  <si>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</si>
  <si>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</si>
  <si>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</si>
  <si>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</si>
  <si>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</si>
  <si>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</si>
  <si>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</si>
  <si>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</si>
  <si>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</si>
  <si>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</si>
  <si>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</si>
  <si>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</si>
  <si>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</si>
  <si>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</si>
  <si>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</si>
  <si>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</si>
  <si>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</si>
  <si>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</si>
  <si>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</si>
  <si>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</si>
  <si>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</si>
  <si>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</si>
  <si>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</si>
  <si>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</si>
  <si>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</si>
  <si>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</si>
  <si>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</si>
  <si>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</si>
  <si>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</si>
  <si>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</si>
  <si>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Knight Electronics, Inc.</t>
  </si>
  <si>
    <t>Randy Rivero</t>
  </si>
  <si>
    <t>214-340-0265</t>
  </si>
  <si>
    <t>John Knight</t>
  </si>
  <si>
    <t>President</t>
  </si>
  <si>
    <t>100%</t>
  </si>
  <si>
    <t/>
  </si>
  <si>
    <t>jknight@knightelectronics.com</t>
  </si>
  <si>
    <t>rrivero@knightelectronics.com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</si>
</sst>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0" fillId="33" borderId="27" xfId="0" applyFont="1" applyFill="1" applyBorder="1" applyAlignment="1" applyProtection="1">
      <alignment horizontal="center"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22" fillId="0" borderId="27" xfId="487"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8" fillId="33" borderId="0" xfId="0" applyFont="1" applyFill="1" applyAlignment="1">
      <alignment horizontal="center" wrapText="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FBB019FA-CD87-4684-9ABB-CABD3AEB9EC7}"/>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knight@knightelectr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rivero@knightelectr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20">
      <c r="A13" s="293"/>
      <c r="B13" s="2">
        <v>1</v>
      </c>
      <c r="C13" s="27" t="s">
        <v>1078</v>
      </c>
      <c r="D13" s="28" t="s">
        <v>866</v>
      </c>
      <c r="E13" s="163" t="s">
        <v>843</v>
      </c>
      <c r="F13" s="163"/>
      <c r="G13" s="25"/>
    </row>
    <row r="14" spans="1:7" ht="30">
      <c r="A14" s="293"/>
      <c r="B14" s="2">
        <v>2</v>
      </c>
      <c r="C14" s="27" t="s">
        <v>1078</v>
      </c>
      <c r="D14" s="28" t="s">
        <v>1015</v>
      </c>
      <c r="E14" s="163" t="s">
        <v>526</v>
      </c>
      <c r="F14" s="163" t="s">
        <v>527</v>
      </c>
      <c r="G14" s="25"/>
    </row>
    <row r="15" spans="1:7" ht="89.15"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150000000000006"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5"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99999999999999" customHeight="1">
      <c r="A28" s="293"/>
      <c r="B28" s="309"/>
      <c r="C28" s="300"/>
      <c r="D28" s="306"/>
      <c r="E28" s="303"/>
      <c r="F28" s="165" t="s">
        <v>57</v>
      </c>
      <c r="G28" s="25"/>
    </row>
    <row r="29" spans="1:7" ht="74.5" customHeight="1">
      <c r="A29" s="293"/>
      <c r="B29" s="309"/>
      <c r="C29" s="300"/>
      <c r="D29" s="306"/>
      <c r="E29" s="303"/>
      <c r="F29" s="165" t="s">
        <v>58</v>
      </c>
      <c r="G29" s="25"/>
    </row>
    <row r="30" spans="1:7" ht="62.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5" customHeight="1">
      <c r="A33" s="293"/>
      <c r="B33" s="309"/>
      <c r="C33" s="300"/>
      <c r="D33" s="306"/>
      <c r="E33" s="303"/>
      <c r="F33" s="165" t="s">
        <v>62</v>
      </c>
      <c r="G33" s="25"/>
    </row>
    <row r="34" spans="1:7" ht="89.15" customHeight="1">
      <c r="A34" s="293"/>
      <c r="B34" s="309"/>
      <c r="C34" s="300"/>
      <c r="D34" s="306"/>
      <c r="E34" s="303"/>
      <c r="F34" s="165" t="s">
        <v>64</v>
      </c>
      <c r="G34" s="25"/>
    </row>
    <row r="35" spans="1:7" ht="29.15" customHeight="1">
      <c r="A35" s="293"/>
      <c r="B35" s="309"/>
      <c r="C35" s="300"/>
      <c r="D35" s="306"/>
      <c r="E35" s="303"/>
      <c r="F35" s="165" t="s">
        <v>65</v>
      </c>
      <c r="G35" s="25"/>
    </row>
    <row r="36" spans="1:7" ht="111">
      <c r="A36" s="293"/>
      <c r="B36" s="310"/>
      <c r="C36" s="301"/>
      <c r="D36" s="307"/>
      <c r="E36" s="304"/>
      <c r="F36" s="166" t="s">
        <v>66</v>
      </c>
      <c r="G36" s="25"/>
    </row>
    <row r="37" spans="1:7" ht="100">
      <c r="A37" s="293"/>
      <c r="B37" s="141">
        <v>3.01</v>
      </c>
      <c r="C37" s="142" t="s">
        <v>67</v>
      </c>
      <c r="D37" s="28" t="s">
        <v>2234</v>
      </c>
      <c r="E37" s="167" t="s">
        <v>1316</v>
      </c>
      <c r="F37" s="168" t="s">
        <v>1420</v>
      </c>
      <c r="G37" s="25"/>
    </row>
    <row r="38" spans="1:7" ht="90">
      <c r="A38" s="293"/>
      <c r="B38" s="141">
        <v>3.02</v>
      </c>
      <c r="C38" s="142" t="s">
        <v>1349</v>
      </c>
      <c r="D38" s="28" t="s">
        <v>2235</v>
      </c>
      <c r="E38" s="167" t="s">
        <v>1364</v>
      </c>
      <c r="F38" s="168" t="s">
        <v>1421</v>
      </c>
      <c r="G38" s="25"/>
    </row>
    <row r="39" spans="1:7" ht="80">
      <c r="A39" s="293"/>
      <c r="B39" s="150">
        <v>4</v>
      </c>
      <c r="C39" s="149" t="s">
        <v>1517</v>
      </c>
      <c r="D39" s="28" t="s">
        <v>2236</v>
      </c>
      <c r="E39" s="27" t="s">
        <v>2182</v>
      </c>
      <c r="F39" s="27" t="s">
        <v>1518</v>
      </c>
      <c r="G39" s="25"/>
    </row>
    <row r="40" spans="1:7" ht="50">
      <c r="A40" s="293"/>
      <c r="B40" s="141">
        <v>4.01</v>
      </c>
      <c r="C40" s="149" t="s">
        <v>1517</v>
      </c>
      <c r="D40" s="28" t="s">
        <v>2238</v>
      </c>
      <c r="E40" s="27" t="s">
        <v>2194</v>
      </c>
      <c r="F40" s="27" t="s">
        <v>2198</v>
      </c>
      <c r="G40" s="25"/>
    </row>
    <row r="41" spans="1:7" ht="50">
      <c r="A41" s="293"/>
      <c r="B41" s="141" t="s">
        <v>2225</v>
      </c>
      <c r="C41" s="149" t="s">
        <v>1517</v>
      </c>
      <c r="D41" s="28" t="s">
        <v>2237</v>
      </c>
      <c r="E41" s="27" t="s">
        <v>2228</v>
      </c>
      <c r="F41" s="27" t="s">
        <v>2226</v>
      </c>
      <c r="G41" s="25"/>
    </row>
    <row r="42" spans="1:7" ht="50">
      <c r="A42" s="293"/>
      <c r="B42" s="141" t="s">
        <v>2259</v>
      </c>
      <c r="C42" s="149" t="s">
        <v>1517</v>
      </c>
      <c r="D42" s="28" t="s">
        <v>2264</v>
      </c>
      <c r="E42" s="27" t="s">
        <v>2227</v>
      </c>
      <c r="F42" s="27" t="s">
        <v>2260</v>
      </c>
      <c r="G42" s="25"/>
    </row>
    <row r="43" spans="1:7" ht="110">
      <c r="A43" s="293"/>
      <c r="B43" s="160">
        <v>4.0999999999999996</v>
      </c>
      <c r="C43" s="149" t="s">
        <v>2263</v>
      </c>
      <c r="D43" s="161">
        <v>42867</v>
      </c>
      <c r="E43" s="169" t="s">
        <v>2266</v>
      </c>
      <c r="F43" s="27" t="s">
        <v>2265</v>
      </c>
      <c r="G43" s="25"/>
    </row>
    <row r="44" spans="1:7" ht="70">
      <c r="A44" s="293"/>
      <c r="B44" s="160">
        <v>4.2</v>
      </c>
      <c r="C44" s="149" t="s">
        <v>2263</v>
      </c>
      <c r="D44" s="161">
        <v>42704</v>
      </c>
      <c r="E44" s="169" t="s">
        <v>2462</v>
      </c>
      <c r="F44" s="27" t="s">
        <v>2437</v>
      </c>
      <c r="G44" s="25"/>
    </row>
    <row r="45" spans="1:7" ht="130">
      <c r="A45" s="293"/>
      <c r="B45" s="202">
        <v>5</v>
      </c>
      <c r="C45" s="149" t="s">
        <v>2263</v>
      </c>
      <c r="D45" s="161">
        <v>42867</v>
      </c>
      <c r="E45" s="169" t="s">
        <v>12683</v>
      </c>
      <c r="F45" s="27" t="s">
        <v>12405</v>
      </c>
      <c r="G45" s="25"/>
    </row>
    <row r="46" spans="1:7" ht="30">
      <c r="A46" s="293"/>
      <c r="B46" s="160">
        <v>5.01</v>
      </c>
      <c r="C46" s="149" t="s">
        <v>2263</v>
      </c>
      <c r="D46" s="161">
        <v>42907</v>
      </c>
      <c r="E46" s="169" t="s">
        <v>15484</v>
      </c>
      <c r="F46" s="27" t="s">
        <v>12405</v>
      </c>
      <c r="G46" s="25"/>
    </row>
    <row r="47" spans="1:7" ht="60">
      <c r="A47" s="293"/>
      <c r="B47" s="160">
        <v>5.0999999999999996</v>
      </c>
      <c r="C47" s="149" t="s">
        <v>2263</v>
      </c>
      <c r="D47" s="161">
        <v>43070</v>
      </c>
      <c r="E47" s="169" t="s">
        <v>12893</v>
      </c>
      <c r="F47" s="27" t="s">
        <v>12894</v>
      </c>
      <c r="G47" s="25"/>
    </row>
    <row r="48" spans="1:7" ht="50">
      <c r="A48" s="293"/>
      <c r="B48" s="160">
        <v>5.1100000000000003</v>
      </c>
      <c r="C48" s="149" t="s">
        <v>13129</v>
      </c>
      <c r="D48" s="161">
        <v>43217</v>
      </c>
      <c r="E48" s="169" t="s">
        <v>13255</v>
      </c>
      <c r="F48" s="27" t="s">
        <v>13163</v>
      </c>
      <c r="G48" s="25"/>
    </row>
    <row r="49" spans="1:7" ht="50">
      <c r="A49" s="293"/>
      <c r="B49" s="160">
        <v>5.12</v>
      </c>
      <c r="C49" s="149" t="s">
        <v>13129</v>
      </c>
      <c r="D49" s="161">
        <v>43581</v>
      </c>
      <c r="E49" s="169" t="s">
        <v>13255</v>
      </c>
      <c r="F49" s="27" t="s">
        <v>13807</v>
      </c>
      <c r="G49" s="25"/>
    </row>
    <row r="50" spans="1:7" ht="70">
      <c r="A50" s="293"/>
      <c r="B50" s="202">
        <v>6</v>
      </c>
      <c r="C50" s="149" t="s">
        <v>13129</v>
      </c>
      <c r="D50" s="161">
        <v>43964</v>
      </c>
      <c r="E50" s="169" t="s">
        <v>14020</v>
      </c>
      <c r="F50" s="27" t="s">
        <v>13810</v>
      </c>
      <c r="G50" s="25"/>
    </row>
    <row r="51" spans="1:7" ht="40">
      <c r="A51" s="293"/>
      <c r="B51" s="160">
        <v>6.01</v>
      </c>
      <c r="C51" s="149" t="s">
        <v>13129</v>
      </c>
      <c r="D51" s="161">
        <v>43970</v>
      </c>
      <c r="E51" s="169" t="s">
        <v>15485</v>
      </c>
      <c r="F51" s="169" t="s">
        <v>13810</v>
      </c>
      <c r="G51" s="25"/>
    </row>
    <row r="52" spans="1:7" ht="40">
      <c r="A52" s="293"/>
      <c r="B52" s="160">
        <v>6.1</v>
      </c>
      <c r="C52" s="149" t="s">
        <v>13129</v>
      </c>
      <c r="D52" s="161">
        <v>44314</v>
      </c>
      <c r="E52" s="169" t="s">
        <v>15477</v>
      </c>
      <c r="F52" s="169" t="s">
        <v>15015</v>
      </c>
      <c r="G52" s="25"/>
    </row>
    <row r="53" spans="1:7" ht="40">
      <c r="A53" s="293"/>
      <c r="B53" s="160">
        <v>6.2</v>
      </c>
      <c r="C53" s="149" t="s">
        <v>13129</v>
      </c>
      <c r="D53" s="161">
        <v>44678</v>
      </c>
      <c r="E53" s="169" t="s">
        <v>15477</v>
      </c>
      <c r="F53" s="169" t="s">
        <v>15476</v>
      </c>
      <c r="G53" s="25"/>
    </row>
    <row r="54" spans="1:7" ht="40">
      <c r="A54" s="293"/>
      <c r="B54" s="160">
        <v>6.21</v>
      </c>
      <c r="C54" s="149" t="s">
        <v>13129</v>
      </c>
      <c r="D54" s="161">
        <v>44687</v>
      </c>
      <c r="E54" s="169" t="s">
        <v>15486</v>
      </c>
      <c r="F54" s="169" t="s">
        <v>15476</v>
      </c>
      <c r="G54" s="25"/>
    </row>
    <row r="55" spans="1:7" ht="40">
      <c r="A55" s="293"/>
      <c r="B55" s="160">
        <v>6.22</v>
      </c>
      <c r="C55" s="149" t="s">
        <v>13129</v>
      </c>
      <c r="D55" s="275">
        <v>44692</v>
      </c>
      <c r="E55" s="169" t="s">
        <v>15485</v>
      </c>
      <c r="F55" s="169" t="s">
        <v>15476</v>
      </c>
      <c r="G55" s="25"/>
    </row>
    <row r="56" spans="1:7" ht="50">
      <c r="A56" s="293"/>
      <c r="B56" s="202">
        <v>6.3</v>
      </c>
      <c r="C56" s="149" t="s">
        <v>13129</v>
      </c>
      <c r="D56" s="275">
        <v>45051</v>
      </c>
      <c r="E56" s="169" t="s">
        <v>15753</v>
      </c>
      <c r="F56" s="169" t="s">
        <v>15534</v>
      </c>
      <c r="G56" s="25"/>
    </row>
    <row r="57" spans="1:7" ht="40">
      <c r="A57" s="293"/>
      <c r="B57" s="160">
        <v>6.31</v>
      </c>
      <c r="C57" s="149" t="s">
        <v>13129</v>
      </c>
      <c r="D57" s="275">
        <v>45072</v>
      </c>
      <c r="E57" s="169" t="s">
        <v>15755</v>
      </c>
      <c r="F57" s="169" t="s">
        <v>15534</v>
      </c>
      <c r="G57" s="25"/>
    </row>
    <row r="58" spans="1:7" ht="44.5" customHeight="1">
      <c r="A58" s="293"/>
      <c r="B58" s="202">
        <v>6.4</v>
      </c>
      <c r="C58" s="149" t="s">
        <v>13129</v>
      </c>
      <c r="D58" s="275">
        <v>45408</v>
      </c>
      <c r="E58" s="169" t="s">
        <v>15757</v>
      </c>
      <c r="F58" s="169" t="s">
        <v>15756</v>
      </c>
      <c r="G58" s="25"/>
    </row>
    <row r="59" spans="1:7" ht="14" thickBot="1">
      <c r="A59" s="294"/>
      <c r="B59" s="295" t="str">
        <f ca="1">OFFSET(L!$C$1,MATCH("General"&amp;"Cpy",L!$A:$A,0)-1,SL,,)</f>
        <v>© 2024 Responsible Minerals Initiative. All rights reserved.</v>
      </c>
      <c r="C59" s="295"/>
      <c r="D59" s="295"/>
      <c r="E59" s="295"/>
      <c r="F59" s="295"/>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872611F-E7B3-4718-AF74-67920641F71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6C245A4-6982-45BC-B1B3-695FD9F7112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5"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68"/>
      <c r="B1" s="369"/>
      <c r="C1" s="369"/>
      <c r="D1" s="369"/>
      <c r="E1" s="369"/>
      <c r="F1" s="369"/>
      <c r="G1" s="369"/>
      <c r="H1" s="369"/>
      <c r="I1" s="369"/>
      <c r="J1" s="369"/>
      <c r="K1" s="370"/>
      <c r="L1" s="100"/>
      <c r="P1" s="3"/>
      <c r="Q1" s="3"/>
      <c r="R1" s="3"/>
      <c r="S1" s="3"/>
      <c r="T1" s="3"/>
      <c r="U1" s="3"/>
      <c r="V1" s="3"/>
      <c r="W1" s="3"/>
      <c r="X1" s="3"/>
      <c r="Y1" s="3"/>
      <c r="Z1" s="3"/>
      <c r="AA1" s="3"/>
      <c r="AB1" s="3"/>
      <c r="AC1" s="3"/>
      <c r="AD1" s="3"/>
      <c r="AE1" s="3"/>
      <c r="AF1" s="3"/>
      <c r="AG1" s="3"/>
      <c r="AH1" s="3"/>
    </row>
    <row r="2" spans="1:34" ht="82.4" customHeight="1">
      <c r="A2" s="34"/>
      <c r="B2" s="136"/>
      <c r="C2" s="35"/>
      <c r="D2" s="371" t="str">
        <f ca="1">OFFSET(L!$C$1,MATCH("Declaration"&amp;ADDRESS(ROW(),COLUMN(),4),L!$A:$A,0)-1,SL,,)</f>
        <v>Conflict Minerals Reporting Template (CMRT)</v>
      </c>
      <c r="E2" s="372"/>
      <c r="F2" s="372"/>
      <c r="G2" s="372"/>
      <c r="H2" s="372"/>
      <c r="I2" s="372"/>
      <c r="J2" s="37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8"/>
      <c r="G3" s="378"/>
      <c r="H3" s="378"/>
      <c r="I3" s="152"/>
      <c r="J3" s="138" t="s">
        <v>15760</v>
      </c>
      <c r="K3" s="36"/>
      <c r="L3" s="100"/>
      <c r="P3" s="45">
        <f>MATCH($D$3,LN,0)</f>
        <v>1</v>
      </c>
    </row>
    <row r="4" spans="1:34" ht="15">
      <c r="A4" s="34"/>
      <c r="B4" s="374" t="str">
        <f ca="1">OFFSET(L!$C$1,MATCH("Declaration"&amp;ADDRESS(ROW(),COLUMN(),4),L!$A:$A,0)-1,SL,,)</f>
        <v>The purpose of this document is to collect sourcing information on tin, tantalum, tungsten and gold used in products</v>
      </c>
      <c r="C4" s="374"/>
      <c r="D4" s="374"/>
      <c r="E4" s="374"/>
      <c r="F4" s="374"/>
      <c r="G4" s="374"/>
      <c r="H4" s="374"/>
      <c r="I4" s="379" t="str">
        <f ca="1">OFFSET(L!$C$1,MATCH("Declaration"&amp;ADDRESS(ROW(),COLUMN(),4),L!$A:$A,0)-1,SL,,)</f>
        <v>Link to Terms &amp; Conditions</v>
      </c>
      <c r="J4" s="37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4" t="str">
        <f ca="1">OFFSET(L!$C$1,MATCH("Declaration"&amp;ADDRESS(ROW(),COLUMN(),4),L!$A:$A,0)-1,SL,,)</f>
        <v>Mandatory fields are noted with an asterisk (*).  Consult the instructions tab for guidance on how to answer each question.</v>
      </c>
      <c r="C6" s="374"/>
      <c r="D6" s="374"/>
      <c r="E6" s="374"/>
      <c r="F6" s="374"/>
      <c r="G6" s="374"/>
      <c r="H6" s="374"/>
      <c r="I6" s="374"/>
      <c r="J6" s="374"/>
      <c r="K6" s="36"/>
      <c r="L6" s="115" t="s">
        <v>439</v>
      </c>
      <c r="P6" s="3"/>
      <c r="Q6" s="3"/>
      <c r="R6" s="3"/>
      <c r="S6" s="3"/>
      <c r="T6" s="3"/>
      <c r="U6" s="3"/>
      <c r="V6" s="3"/>
      <c r="W6" s="3"/>
      <c r="X6" s="3"/>
      <c r="Y6" s="3"/>
      <c r="Z6" s="3"/>
      <c r="AA6" s="3"/>
      <c r="AB6" s="3"/>
      <c r="AC6" s="3"/>
      <c r="AD6" s="3"/>
      <c r="AE6" s="3"/>
      <c r="AF6" s="3"/>
      <c r="AG6" s="3"/>
      <c r="AH6" s="3"/>
    </row>
    <row r="7" spans="1:34" ht="37" customHeight="1">
      <c r="A7" s="34"/>
      <c r="B7" s="383" t="str">
        <f ca="1">OFFSET(L!$C$1,MATCH("Declaration"&amp;ADDRESS(ROW(),COLUMN(),4),L!$A:$A,0)-1,SL,,)</f>
        <v>Company Information</v>
      </c>
      <c r="C7" s="383"/>
      <c r="D7" s="383"/>
      <c r="E7" s="383"/>
      <c r="F7" s="383"/>
      <c r="G7" s="383"/>
      <c r="H7" s="383"/>
      <c r="I7" s="383"/>
      <c r="J7" s="38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5" t="s">
        <v>15855</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80" t="s">
        <v>490</v>
      </c>
      <c r="E9" s="381"/>
      <c r="F9" s="381"/>
      <c r="G9" s="38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84" t="str">
        <f ca="1">OFFSET(L!$C$1,MATCH("Declaration"&amp;ADDRESS(ROW(),COLUMN(),4)&amp;LEFT($D$9,1),L!$A:$A,0)-1,SL,,)</f>
        <v>Description of Scope:</v>
      </c>
      <c r="C10" s="122"/>
      <c r="D10" s="375"/>
      <c r="E10" s="376"/>
      <c r="F10" s="376"/>
      <c r="G10" s="376"/>
      <c r="H10" s="376"/>
      <c r="I10" s="376"/>
      <c r="J10" s="377"/>
      <c r="K10" s="36"/>
      <c r="L10" s="115"/>
      <c r="Q10" s="3"/>
      <c r="R10" s="3"/>
      <c r="S10" s="3"/>
      <c r="T10" s="3"/>
      <c r="U10" s="3"/>
      <c r="V10" s="3"/>
      <c r="W10" s="3"/>
      <c r="X10" s="3"/>
      <c r="Y10" s="3"/>
      <c r="Z10" s="3"/>
      <c r="AA10" s="3"/>
      <c r="AB10" s="3"/>
      <c r="AC10" s="3"/>
      <c r="AD10" s="3"/>
      <c r="AE10" s="3"/>
      <c r="AF10" s="3"/>
      <c r="AG10" s="3"/>
      <c r="AH10" s="3"/>
    </row>
    <row r="11" spans="1:34" ht="15">
      <c r="A11" s="38"/>
      <c r="B11" s="385"/>
      <c r="C11" s="122"/>
      <c r="D11" s="323" t="str">
        <f ca="1">IF(D9=Q9,OFFSET(L!$C$1,MATCH("Declaration"&amp;ADDRESS(ROW(),COLUMN(),4),L!$A:$A,0)-1,SL,,),"")</f>
        <v/>
      </c>
      <c r="E11" s="324"/>
      <c r="F11" s="324"/>
      <c r="G11" s="324"/>
      <c r="H11" s="324"/>
      <c r="I11" s="324"/>
      <c r="J11" s="32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34"/>
      <c r="E12" s="335"/>
      <c r="F12" s="335"/>
      <c r="G12" s="335"/>
      <c r="H12" s="335"/>
      <c r="I12" s="335"/>
      <c r="J12" s="33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34"/>
      <c r="E13" s="335"/>
      <c r="F13" s="335"/>
      <c r="G13" s="335"/>
      <c r="H13" s="335"/>
      <c r="I13" s="335"/>
      <c r="J13" s="33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34"/>
      <c r="E14" s="335"/>
      <c r="F14" s="335"/>
      <c r="G14" s="335"/>
      <c r="H14" s="335"/>
      <c r="I14" s="335"/>
      <c r="J14" s="33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34" t="s">
        <v>15856</v>
      </c>
      <c r="E15" s="335"/>
      <c r="F15" s="335"/>
      <c r="G15" s="335"/>
      <c r="H15" s="335"/>
      <c r="I15" s="335"/>
      <c r="J15" s="33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37" t="s">
        <v>15863</v>
      </c>
      <c r="E16" s="338"/>
      <c r="F16" s="338"/>
      <c r="G16" s="338"/>
      <c r="H16" s="338"/>
      <c r="I16" s="338"/>
      <c r="J16" s="33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34" t="s">
        <v>15857</v>
      </c>
      <c r="E17" s="335"/>
      <c r="F17" s="335"/>
      <c r="G17" s="335"/>
      <c r="H17" s="335"/>
      <c r="I17" s="335"/>
      <c r="J17" s="33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31" t="s">
        <v>15858</v>
      </c>
      <c r="E18" s="332"/>
      <c r="F18" s="332"/>
      <c r="G18" s="332"/>
      <c r="H18" s="332"/>
      <c r="I18" s="332"/>
      <c r="J18" s="333"/>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34" t="s">
        <v>15859</v>
      </c>
      <c r="E19" s="335"/>
      <c r="F19" s="335"/>
      <c r="G19" s="335"/>
      <c r="H19" s="335"/>
      <c r="I19" s="335"/>
      <c r="J19" s="33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37" t="s">
        <v>15862</v>
      </c>
      <c r="E20" s="338"/>
      <c r="F20" s="338"/>
      <c r="G20" s="338"/>
      <c r="H20" s="338"/>
      <c r="I20" s="338"/>
      <c r="J20" s="33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40" t="s">
        <v>15857</v>
      </c>
      <c r="E21" s="341"/>
      <c r="F21" s="341"/>
      <c r="G21" s="341"/>
      <c r="H21" s="341"/>
      <c r="I21" s="341"/>
      <c r="J21" s="34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43">
        <v>45630</v>
      </c>
      <c r="E22" s="34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4"/>
      <c r="E23" s="36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52" t="str">
        <f ca="1">OFFSET(L!$C$1,MATCH("Declaration"&amp;ADDRESS(ROW(),COLUMN(),4),L!$A:$A,0)-1,SL,,)</f>
        <v>Answer</v>
      </c>
      <c r="E25" s="35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50" t="str">
        <f ca="1">D25</f>
        <v>Answer</v>
      </c>
      <c r="E31" s="350"/>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6"/>
      <c r="E32" s="347"/>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50" t="str">
        <f ca="1">D25</f>
        <v>Answer</v>
      </c>
      <c r="E37" s="350"/>
      <c r="F37" s="18"/>
      <c r="G37" s="44" t="str">
        <f ca="1">G25</f>
        <v>Comments</v>
      </c>
      <c r="H37" s="353"/>
      <c r="I37" s="353"/>
      <c r="J37" s="353"/>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50" t="str">
        <f ca="1">D25</f>
        <v>Answer</v>
      </c>
      <c r="E43" s="35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50" t="str">
        <f ca="1">D25</f>
        <v>Answer</v>
      </c>
      <c r="E49" s="35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50" t="str">
        <f ca="1">D25</f>
        <v>Answer</v>
      </c>
      <c r="E55" s="35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8"/>
      <c r="E56" s="349"/>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8" t="s">
        <v>2463</v>
      </c>
      <c r="E57" s="349"/>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t="s">
        <v>15860</v>
      </c>
      <c r="E58" s="349"/>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8"/>
      <c r="E59" s="349"/>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50" t="str">
        <f ca="1">D25</f>
        <v>Answer</v>
      </c>
      <c r="E61" s="350"/>
      <c r="F61" s="18"/>
      <c r="G61" s="44" t="str">
        <f ca="1">G25</f>
        <v>Comments</v>
      </c>
      <c r="H61" s="351"/>
      <c r="I61" s="351"/>
      <c r="J61" s="351"/>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6"/>
      <c r="E62" s="347"/>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t="s">
        <v>15861</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50" t="str">
        <f ca="1">D25</f>
        <v>Answer</v>
      </c>
      <c r="E67" s="350"/>
      <c r="F67" s="18"/>
      <c r="G67" s="44" t="str">
        <f ca="1">G25</f>
        <v>Comments</v>
      </c>
      <c r="H67" s="351" t="str">
        <f>IF(Q75="(*)","Click here to enter smelter names","")</f>
        <v/>
      </c>
      <c r="I67" s="351"/>
      <c r="J67" s="351"/>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45" t="str">
        <f ca="1">OFFSET(L!$C$1,MATCH("Declaration"&amp;ADDRESS(ROW(),COLUMN(),4),L!$A:$A,0)-1,SL,,)</f>
        <v>Answer the Following Questions at a Company Level</v>
      </c>
      <c r="C73" s="345"/>
      <c r="D73" s="345"/>
      <c r="E73" s="345"/>
      <c r="F73" s="345"/>
      <c r="G73" s="345"/>
      <c r="H73" s="345"/>
      <c r="I73" s="345"/>
      <c r="J73" s="34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52" t="str">
        <f ca="1">D25</f>
        <v>Answer</v>
      </c>
      <c r="E74" s="352"/>
      <c r="F74" s="53"/>
      <c r="G74" s="352" t="str">
        <f ca="1">G25</f>
        <v>Comments</v>
      </c>
      <c r="H74" s="352" t="e">
        <f>HLOOKUP(SL,LT,$O74,0)</f>
        <v>#NAME?</v>
      </c>
      <c r="I74" s="35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59"/>
      <c r="H76" s="359"/>
      <c r="I76" s="359"/>
      <c r="J76" s="359"/>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61"/>
      <c r="H77" s="362"/>
      <c r="I77" s="362"/>
      <c r="J77" s="363"/>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7" t="s">
        <v>484</v>
      </c>
      <c r="E85" s="358"/>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59"/>
      <c r="H86" s="359"/>
      <c r="I86" s="359"/>
      <c r="J86" s="359"/>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60"/>
      <c r="H88" s="360"/>
      <c r="I88" s="360"/>
      <c r="J88" s="36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56" t="str">
        <f>IF(OR($D$8="",$I$3=""),"","Click here to check required fields completion")</f>
        <v/>
      </c>
      <c r="C90" s="356"/>
      <c r="D90" s="356"/>
      <c r="E90" s="356"/>
      <c r="F90" s="356"/>
      <c r="G90" s="356"/>
      <c r="H90" s="356"/>
      <c r="I90" s="356"/>
      <c r="J90" s="356"/>
      <c r="K90" s="36"/>
      <c r="L90" s="100"/>
      <c r="P90" s="3"/>
      <c r="Q90" s="3"/>
      <c r="R90" s="3"/>
      <c r="S90" s="3"/>
      <c r="T90" s="3"/>
      <c r="U90" s="3"/>
      <c r="V90" s="3"/>
      <c r="W90" s="3"/>
      <c r="X90" s="3"/>
      <c r="Y90" s="3"/>
      <c r="Z90" s="3"/>
      <c r="AA90" s="3"/>
      <c r="AB90" s="3"/>
      <c r="AC90" s="3"/>
      <c r="AD90" s="3"/>
      <c r="AE90" s="3"/>
      <c r="AF90" s="3"/>
      <c r="AG90" s="3"/>
      <c r="AH90" s="3"/>
    </row>
    <row r="91" spans="1:34" ht="15.5" thickBot="1">
      <c r="A91" s="354" t="str">
        <f ca="1">OFFSET(L!$C$1,MATCH("General"&amp;"Cpy",L!$A:$A,0)-1,SL,,)</f>
        <v>© 2024 Responsible Minerals Initiative. All rights reserved.</v>
      </c>
      <c r="B91" s="355"/>
      <c r="C91" s="355"/>
      <c r="D91" s="355"/>
      <c r="E91" s="355"/>
      <c r="F91" s="355"/>
      <c r="G91" s="355"/>
      <c r="H91" s="355"/>
      <c r="I91" s="355"/>
      <c r="J91" s="355"/>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3:E23"/>
    <mergeCell ref="G33:J33"/>
    <mergeCell ref="D29:E29"/>
    <mergeCell ref="G41:J41"/>
    <mergeCell ref="D40:E40"/>
    <mergeCell ref="D41:E41"/>
    <mergeCell ref="D8:J8"/>
    <mergeCell ref="A1:K1"/>
    <mergeCell ref="D2:J2"/>
    <mergeCell ref="B4:H4"/>
    <mergeCell ref="D10:J10"/>
    <mergeCell ref="D14:J14"/>
    <mergeCell ref="D13:J13"/>
    <mergeCell ref="F3:H3"/>
    <mergeCell ref="I4:J4"/>
    <mergeCell ref="D9:G9"/>
    <mergeCell ref="B7:J7"/>
    <mergeCell ref="B10:B11"/>
    <mergeCell ref="B6:J6"/>
    <mergeCell ref="D12:J12"/>
    <mergeCell ref="B24:J24"/>
    <mergeCell ref="D31:E31"/>
    <mergeCell ref="D37:E37"/>
    <mergeCell ref="D32:E32"/>
    <mergeCell ref="G35:J35"/>
    <mergeCell ref="D69:E69"/>
    <mergeCell ref="D68:E68"/>
    <mergeCell ref="G62:J62"/>
    <mergeCell ref="D52:E52"/>
    <mergeCell ref="G57:J57"/>
    <mergeCell ref="G58:J58"/>
    <mergeCell ref="G59:J59"/>
    <mergeCell ref="D58:E58"/>
    <mergeCell ref="D55:E55"/>
    <mergeCell ref="D53:E53"/>
    <mergeCell ref="D57:E57"/>
    <mergeCell ref="H67:J67"/>
    <mergeCell ref="D67:E67"/>
    <mergeCell ref="G68:J68"/>
    <mergeCell ref="G69:J69"/>
    <mergeCell ref="G40:J40"/>
    <mergeCell ref="D50:E50"/>
    <mergeCell ref="D43:E43"/>
    <mergeCell ref="D44:E44"/>
    <mergeCell ref="G44:J44"/>
    <mergeCell ref="D45:E45"/>
    <mergeCell ref="G45:J45"/>
    <mergeCell ref="D46:E46"/>
    <mergeCell ref="G46:J46"/>
    <mergeCell ref="D47:E47"/>
    <mergeCell ref="G47:J47"/>
    <mergeCell ref="D49:E49"/>
    <mergeCell ref="D25:E25"/>
    <mergeCell ref="H37:J37"/>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D77:E77"/>
    <mergeCell ref="G74:I74"/>
    <mergeCell ref="D74:E74"/>
    <mergeCell ref="G76:J76"/>
    <mergeCell ref="G77:J77"/>
    <mergeCell ref="D71:E71"/>
    <mergeCell ref="G26:J26"/>
    <mergeCell ref="G28:J28"/>
    <mergeCell ref="D28:E28"/>
    <mergeCell ref="G75:J75"/>
    <mergeCell ref="D70:E70"/>
    <mergeCell ref="D75:E75"/>
    <mergeCell ref="B73:J73"/>
    <mergeCell ref="G70:J70"/>
    <mergeCell ref="G71:J71"/>
    <mergeCell ref="G63:J63"/>
    <mergeCell ref="G64:J64"/>
    <mergeCell ref="D62:E62"/>
    <mergeCell ref="G65:J65"/>
    <mergeCell ref="G53:J53"/>
    <mergeCell ref="D59:E59"/>
    <mergeCell ref="D56:E56"/>
    <mergeCell ref="G56:J56"/>
    <mergeCell ref="D61:E61"/>
    <mergeCell ref="H61:J61"/>
    <mergeCell ref="D35:E35"/>
    <mergeCell ref="G38:J38"/>
    <mergeCell ref="D39:E39"/>
    <mergeCell ref="D51:E51"/>
    <mergeCell ref="G51:J51"/>
    <mergeCell ref="D11:J11"/>
    <mergeCell ref="D34:E34"/>
    <mergeCell ref="D33:E33"/>
    <mergeCell ref="G34:J34"/>
    <mergeCell ref="G52:J52"/>
    <mergeCell ref="D65:E65"/>
    <mergeCell ref="D64:E64"/>
    <mergeCell ref="D63:E63"/>
    <mergeCell ref="D18:J18"/>
    <mergeCell ref="D19:J19"/>
    <mergeCell ref="D17:J17"/>
    <mergeCell ref="D15:J15"/>
    <mergeCell ref="D16:J16"/>
    <mergeCell ref="D20:J20"/>
    <mergeCell ref="D21:J21"/>
    <mergeCell ref="G50:J50"/>
    <mergeCell ref="D38:E38"/>
    <mergeCell ref="G39:J39"/>
    <mergeCell ref="G32:J32"/>
    <mergeCell ref="G29:J29"/>
    <mergeCell ref="G27:J27"/>
    <mergeCell ref="D26:E26"/>
    <mergeCell ref="D27:E27"/>
    <mergeCell ref="D22:E22"/>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86879BF-4D2F-4810-95B4-44174204B418}"/>
    <hyperlink ref="D16" r:id="rId4" xr:uid="{85EA3E18-2D07-42C8-A4B8-4761CD8F7DA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G14" sqref="G1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779</v>
      </c>
      <c r="B5" s="182" t="str">
        <f ca="1">IF(LEN(A5)=0,"",INDEX('Smelter Look-up'!$A:$A,MATCH($A5,'Smelter Look-up'!$E:$E,0)))</f>
        <v>Tin</v>
      </c>
      <c r="C5" s="186" t="str">
        <f ca="1">IF(LEN(A5)=0,"",INDEX('Smelter Look-up'!$C:$C,MATCH($A5,'Smelter Look-up'!$E:$E,0)))</f>
        <v>Thaisarco</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ca="1">IF(B5="","",IF(ISERROR(MATCH($E5,CL,0)),"Unknown",INDIRECT("'C'!$A$"&amp;MATCH($E5,CL,0)+1)))</f>
        <v>TH</v>
      </c>
      <c r="T5" s="181" t="str">
        <f ca="1">IF(B5="","",IF(ISERROR(MATCH($J5,SorP!$B$1:$B$6226,0)),"",INDIRECT("'SorP'!$A$"&amp;MATCH($S5&amp;$J5,SorP!C:C,0))))</f>
        <v>TH-83</v>
      </c>
      <c r="U5" s="201"/>
      <c r="V5" s="226">
        <f ca="1">IF(C5="",NA(),IF(OR(C5="Smelter not listed",C5="Smelter not yet identified"),MATCH($B5&amp;$D5,'Smelter Look-up'!$J:$J,0),MATCH($B5&amp;$C5,'Smelter Look-up'!$J:$J,0)))</f>
        <v>547</v>
      </c>
      <c r="X5" s="227">
        <f t="shared" ref="X5" ca="1" si="0">IF(AND(C5="Smelter not listed",OR(LEN(D5)=0,LEN(E5)=0)),1,0)</f>
        <v>0</v>
      </c>
      <c r="AB5" s="228" t="str">
        <f t="shared" ref="AB5" ca="1" si="1">B5&amp;C5</f>
        <v>TinThaisarco</v>
      </c>
    </row>
    <row r="6" spans="1:34" s="227" customFormat="1" ht="20.149999999999999" customHeight="1">
      <c r="A6" s="262" t="s">
        <v>766</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474</v>
      </c>
      <c r="X6" s="227">
        <f t="shared" ref="X6:X37" ca="1" si="3">IF(AND(C6="Smelter not listed",OR(LEN(D6)=0,LEN(E6)=0)),1,0)</f>
        <v>0</v>
      </c>
      <c r="AB6" s="228" t="str">
        <f t="shared" ref="AB6:AB37" ca="1" si="4">B6&amp;C6</f>
        <v>TinMalaysia Smelting Corporation (MSC)</v>
      </c>
    </row>
    <row r="7" spans="1:34" s="227" customFormat="1" ht="20.149999999999999" customHeight="1">
      <c r="A7" s="262" t="s">
        <v>774</v>
      </c>
      <c r="B7" s="182" t="str">
        <f ca="1">IF(LEN(A7)=0,"",INDEX('Smelter Look-up'!$A:$A,MATCH($A7,'Smelter Look-up'!$E:$E,0)))</f>
        <v>Tin</v>
      </c>
      <c r="C7" s="186" t="str">
        <f ca="1">IF(LEN(A7)=0,"",INDEX('Smelter Look-up'!$C:$C,MATCH($A7,'Smelter Look-up'!$E:$E,0)))</f>
        <v>PT Mitra Stania Prima</v>
      </c>
      <c r="D7" s="230"/>
      <c r="E7" s="182" t="str">
        <f ca="1">IF(ISERROR($V7),"",OFFSET('Smelter Look-up'!$D$4,$V7-4,0)&amp;"")</f>
        <v>INDONESIA</v>
      </c>
      <c r="F7" s="182" t="str">
        <f ca="1">IF(ISERROR($V7),"",OFFSET('Smelter Look-up'!$E$4,$V7-4,0))</f>
        <v>CID001453</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c r="R7" s="182" t="str">
        <f ca="1">IF(ISERROR($V7),"",OFFSET('Smelter Look-up'!$C$4,$V7-4,0)&amp;"")</f>
        <v>PT Mitra Stania Prima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518</v>
      </c>
      <c r="X7" s="227">
        <f t="shared" ca="1" si="3"/>
        <v>0</v>
      </c>
      <c r="AB7" s="228" t="str">
        <f t="shared" ca="1" si="4"/>
        <v>TinPT Mitra Stania Prima</v>
      </c>
    </row>
    <row r="8" spans="1:34" s="227" customFormat="1" ht="20.149999999999999" customHeight="1">
      <c r="A8" s="262" t="s">
        <v>776</v>
      </c>
      <c r="B8" s="182" t="str">
        <f ca="1">IF(LEN(A8)=0,"",INDEX('Smelter Look-up'!$A:$A,MATCH($A8,'Smelter Look-up'!$E:$E,0)))</f>
        <v>Tin</v>
      </c>
      <c r="C8" s="186" t="str">
        <f ca="1">IF(LEN(A8)=0,"",INDEX('Smelter Look-up'!$C:$C,MATCH($A8,'Smelter Look-up'!$E:$E,0)))</f>
        <v>PT Timah Tbk Mentok</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533</v>
      </c>
      <c r="X8" s="227">
        <f t="shared" ca="1" si="3"/>
        <v>0</v>
      </c>
      <c r="AB8" s="228" t="str">
        <f t="shared" ca="1" si="4"/>
        <v>TinPT Timah Tbk Mentok</v>
      </c>
    </row>
    <row r="9" spans="1:34" s="227" customFormat="1" ht="20.149999999999999" customHeight="1">
      <c r="A9" s="262" t="s">
        <v>735</v>
      </c>
      <c r="B9" s="182" t="str">
        <f ca="1">IF(LEN(A9)=0,"",INDEX('Smelter Look-up'!$A:$A,MATCH($A9,'Smelter Look-up'!$E:$E,0)))</f>
        <v>Gold</v>
      </c>
      <c r="C9" s="186" t="str">
        <f ca="1">IF(LEN(A9)=0,"",INDEX('Smelter Look-up'!$C:$C,MATCH($A9,'Smelter Look-up'!$E:$E,0)))</f>
        <v>Western Australian Mint (T/a The Perth Mint)</v>
      </c>
      <c r="D9" s="230"/>
      <c r="E9" s="182" t="str">
        <f ca="1">IF(ISERROR($V9),"",OFFSET('Smelter Look-up'!$D$4,$V9-4,0)&amp;"")</f>
        <v>AUSTRALIA</v>
      </c>
      <c r="F9" s="182" t="str">
        <f ca="1">IF(ISERROR($V9),"",OFFSET('Smelter Look-up'!$E$4,$V9-4,0))</f>
        <v>CID002030</v>
      </c>
      <c r="G9" s="182" t="str">
        <f ca="1">IF(C9=$X$4,IF(ISERROR($V9),"Enter smelter details","RMI"),IF(ISERROR($V9),"",OFFSET('Smelter Look-up'!$F$4,$V9-4,0)))</f>
        <v>RMI</v>
      </c>
      <c r="H9" s="183">
        <f ca="1">IF(ISERROR($V9),"",OFFSET('Smelter Look-up'!$G$4,$V9-4,0))</f>
        <v>0</v>
      </c>
      <c r="I9" s="184" t="str">
        <f ca="1">IF(ISERROR($V9),"",OFFSET('Smelter Look-up'!$H$4,$V9-4,0))</f>
        <v>Newburn</v>
      </c>
      <c r="J9" s="184" t="str">
        <f ca="1">IF(ISERROR($V9),"",OFFSET('Smelter Look-up'!$I$4,$V9-4,0))</f>
        <v>Western Australia</v>
      </c>
      <c r="K9" s="224"/>
      <c r="L9" s="224"/>
      <c r="M9" s="224"/>
      <c r="N9" s="224"/>
      <c r="O9" s="224"/>
      <c r="P9" s="185"/>
      <c r="Q9" s="225"/>
      <c r="R9" s="182" t="str">
        <f ca="1">IF(ISERROR($V9),"",OFFSET('Smelter Look-up'!$C$4,$V9-4,0)&amp;"")</f>
        <v>Western Australian Mint (T/a The Perth Mint)</v>
      </c>
      <c r="S9" s="181" t="str">
        <f t="shared" ca="1" si="2"/>
        <v>AU</v>
      </c>
      <c r="T9" s="181" t="str">
        <f ca="1">IF(B9="","",IF(ISERROR(MATCH($J9,SorP!$B$1:$B$6226,0)),"",INDIRECT("'SorP'!$A$"&amp;MATCH($S9&amp;$J9,SorP!C:C,0))))</f>
        <v>AU-WA</v>
      </c>
      <c r="U9" s="201"/>
      <c r="V9" s="226">
        <f ca="1">IF(C9="",NA(),IF(OR(C9="Smelter not listed",C9="Smelter not yet identified"),MATCH($B9&amp;$D9,'Smelter Look-up'!$J:$J,0),MATCH($B9&amp;$C9,'Smelter Look-up'!$J:$J,0)))</f>
        <v>307</v>
      </c>
      <c r="X9" s="227">
        <f t="shared" ca="1" si="3"/>
        <v>0</v>
      </c>
      <c r="AB9" s="228" t="str">
        <f t="shared" ca="1" si="4"/>
        <v>GoldWestern Australian Mint (T/a The Perth Mint)</v>
      </c>
    </row>
    <row r="10" spans="1:34" s="227" customFormat="1" ht="20.149999999999999" customHeight="1">
      <c r="A10" s="262" t="s">
        <v>705</v>
      </c>
      <c r="B10" s="182" t="str">
        <f ca="1">IF(LEN(A10)=0,"",INDEX('Smelter Look-up'!$A:$A,MATCH($A10,'Smelter Look-up'!$E:$E,0)))</f>
        <v>Gold</v>
      </c>
      <c r="C10" s="186" t="str">
        <f ca="1">IF(LEN(A10)=0,"",INDEX('Smelter Look-up'!$C:$C,MATCH($A10,'Smelter Look-up'!$E:$E,0)))</f>
        <v>Mitsui Mining and Smelting Co., Ltd.</v>
      </c>
      <c r="D10" s="230"/>
      <c r="E10" s="182" t="str">
        <f ca="1">IF(ISERROR($V10),"",OFFSET('Smelter Look-up'!$D$4,$V10-4,0)&amp;"")</f>
        <v>JAPAN</v>
      </c>
      <c r="F10" s="182" t="str">
        <f ca="1">IF(ISERROR($V10),"",OFFSET('Smelter Look-up'!$E$4,$V10-4,0))</f>
        <v>CID001193</v>
      </c>
      <c r="G10" s="182" t="str">
        <f ca="1">IF(C10=$X$4,IF(ISERROR($V10),"Enter smelter details","RMI"),IF(ISERROR($V10),"",OFFSET('Smelter Look-up'!$F$4,$V10-4,0)))</f>
        <v>RMI</v>
      </c>
      <c r="H10" s="183">
        <f ca="1">IF(ISERROR($V10),"",OFFSET('Smelter Look-up'!$G$4,$V10-4,0))</f>
        <v>0</v>
      </c>
      <c r="I10" s="184" t="str">
        <f ca="1">IF(ISERROR($V10),"",OFFSET('Smelter Look-up'!$H$4,$V10-4,0))</f>
        <v>Takehara</v>
      </c>
      <c r="J10" s="184" t="str">
        <f ca="1">IF(ISERROR($V10),"",OFFSET('Smelter Look-up'!$I$4,$V10-4,0))</f>
        <v>Hiroshima</v>
      </c>
      <c r="K10" s="224"/>
      <c r="L10" s="224"/>
      <c r="M10" s="224"/>
      <c r="N10" s="224"/>
      <c r="O10" s="224"/>
      <c r="P10" s="185"/>
      <c r="Q10" s="225"/>
      <c r="R10" s="182" t="str">
        <f ca="1">IF(ISERROR($V10),"",OFFSET('Smelter Look-up'!$C$4,$V10-4,0)&amp;"")</f>
        <v>Mitsui Mining and Smelting Co., Ltd.</v>
      </c>
      <c r="S10" s="181" t="str">
        <f t="shared" ca="1" si="2"/>
        <v>JP</v>
      </c>
      <c r="T10" s="181" t="str">
        <f ca="1">IF(B10="","",IF(ISERROR(MATCH($J10,SorP!$B$1:$B$6226,0)),"",INDIRECT("'SorP'!$A$"&amp;MATCH($S10&amp;$J10,SorP!C:C,0))))</f>
        <v>JP-34</v>
      </c>
      <c r="U10" s="201"/>
      <c r="V10" s="226">
        <f ca="1">IF(C10="",NA(),IF(OR(C10="Smelter not listed",C10="Smelter not yet identified"),MATCH($B10&amp;$D10,'Smelter Look-up'!$J:$J,0),MATCH($B10&amp;$C10,'Smelter Look-up'!$J:$J,0)))</f>
        <v>194</v>
      </c>
      <c r="X10" s="227">
        <f t="shared" ca="1" si="3"/>
        <v>0</v>
      </c>
      <c r="AB10" s="228" t="str">
        <f t="shared" ca="1" si="4"/>
        <v>GoldMitsui Mining and Smelting Co., Ltd.</v>
      </c>
    </row>
    <row r="11" spans="1:34" s="227" customFormat="1" ht="20.149999999999999" customHeight="1">
      <c r="A11" s="262" t="s">
        <v>704</v>
      </c>
      <c r="B11" s="182" t="str">
        <f ca="1">IF(LEN(A11)=0,"",INDEX('Smelter Look-up'!$A:$A,MATCH($A11,'Smelter Look-up'!$E:$E,0)))</f>
        <v>Gold</v>
      </c>
      <c r="C11" s="186" t="str">
        <f ca="1">IF(LEN(A11)=0,"",INDEX('Smelter Look-up'!$C:$C,MATCH($A11,'Smelter Look-up'!$E:$E,0)))</f>
        <v>Mitsubishi Materials Corporation</v>
      </c>
      <c r="D11" s="230"/>
      <c r="E11" s="182" t="str">
        <f ca="1">IF(ISERROR($V11),"",OFFSET('Smelter Look-up'!$D$4,$V11-4,0)&amp;"")</f>
        <v>JAPAN</v>
      </c>
      <c r="F11" s="182" t="str">
        <f ca="1">IF(ISERROR($V11),"",OFFSET('Smelter Look-up'!$E$4,$V11-4,0))</f>
        <v>CID001188</v>
      </c>
      <c r="G11" s="182" t="str">
        <f ca="1">IF(C11=$X$4,IF(ISERROR($V11),"Enter smelter details","RMI"),IF(ISERROR($V11),"",OFFSET('Smelter Look-up'!$F$4,$V11-4,0)))</f>
        <v>RMI</v>
      </c>
      <c r="H11" s="183">
        <f ca="1">IF(ISERROR($V11),"",OFFSET('Smelter Look-up'!$G$4,$V11-4,0))</f>
        <v>0</v>
      </c>
      <c r="I11" s="184" t="str">
        <f ca="1">IF(ISERROR($V11),"",OFFSET('Smelter Look-up'!$H$4,$V11-4,0))</f>
        <v>Tokyo</v>
      </c>
      <c r="J11" s="184" t="str">
        <f ca="1">IF(ISERROR($V11),"",OFFSET('Smelter Look-up'!$I$4,$V11-4,0))</f>
        <v>Tokyo</v>
      </c>
      <c r="K11" s="224"/>
      <c r="L11" s="224"/>
      <c r="M11" s="224"/>
      <c r="N11" s="224"/>
      <c r="O11" s="224"/>
      <c r="P11" s="185"/>
      <c r="Q11" s="225"/>
      <c r="R11" s="182" t="str">
        <f ca="1">IF(ISERROR($V11),"",OFFSET('Smelter Look-up'!$C$4,$V11-4,0)&amp;"")</f>
        <v>Mitsubishi Materials Corporation</v>
      </c>
      <c r="S11" s="181" t="str">
        <f t="shared" ca="1" si="2"/>
        <v>JP</v>
      </c>
      <c r="T11" s="181" t="str">
        <f ca="1">IF(B11="","",IF(ISERROR(MATCH($J11,SorP!$B$1:$B$6226,0)),"",INDIRECT("'SorP'!$A$"&amp;MATCH($S11&amp;$J11,SorP!C:C,0))))</f>
        <v>JP-13</v>
      </c>
      <c r="U11" s="201"/>
      <c r="V11" s="226">
        <f ca="1">IF(C11="",NA(),IF(OR(C11="Smelter not listed",C11="Smelter not yet identified"),MATCH($B11&amp;$D11,'Smelter Look-up'!$J:$J,0),MATCH($B11&amp;$C11,'Smelter Look-up'!$J:$J,0)))</f>
        <v>192</v>
      </c>
      <c r="X11" s="227">
        <f t="shared" ca="1" si="3"/>
        <v>0</v>
      </c>
      <c r="AB11" s="228" t="str">
        <f t="shared" ca="1" si="4"/>
        <v>GoldMitsubishi Materials Corporation</v>
      </c>
    </row>
    <row r="12" spans="1:34" s="227" customFormat="1" ht="20.149999999999999" customHeight="1">
      <c r="A12" s="262" t="s">
        <v>728</v>
      </c>
      <c r="B12" s="182" t="str">
        <f ca="1">IF(LEN(A12)=0,"",INDEX('Smelter Look-up'!$A:$A,MATCH($A12,'Smelter Look-up'!$E:$E,0)))</f>
        <v>Gold</v>
      </c>
      <c r="C12" s="186" t="str">
        <f ca="1">IF(LEN(A12)=0,"",INDEX('Smelter Look-up'!$C:$C,MATCH($A12,'Smelter Look-up'!$E:$E,0)))</f>
        <v>Shandong Gold Smelting Co., Ltd.</v>
      </c>
      <c r="D12" s="230"/>
      <c r="E12" s="182" t="str">
        <f ca="1">IF(ISERROR($V12),"",OFFSET('Smelter Look-up'!$D$4,$V12-4,0)&amp;"")</f>
        <v>CHINA</v>
      </c>
      <c r="F12" s="182" t="str">
        <f ca="1">IF(ISERROR($V12),"",OFFSET('Smelter Look-up'!$E$4,$V12-4,0))</f>
        <v>CID001916</v>
      </c>
      <c r="G12" s="182" t="str">
        <f ca="1">IF(C12=$X$4,IF(ISERROR($V12),"Enter smelter details","RMI"),IF(ISERROR($V12),"",OFFSET('Smelter Look-up'!$F$4,$V12-4,0)))</f>
        <v>RMI</v>
      </c>
      <c r="H12" s="183">
        <f ca="1">IF(ISERROR($V12),"",OFFSET('Smelter Look-up'!$G$4,$V12-4,0))</f>
        <v>0</v>
      </c>
      <c r="I12" s="184" t="str">
        <f ca="1">IF(ISERROR($V12),"",OFFSET('Smelter Look-up'!$H$4,$V12-4,0))</f>
        <v>Laizhou</v>
      </c>
      <c r="J12" s="184" t="str">
        <f ca="1">IF(ISERROR($V12),"",OFFSET('Smelter Look-up'!$I$4,$V12-4,0))</f>
        <v>Shandong Sheng</v>
      </c>
      <c r="K12" s="224"/>
      <c r="L12" s="224"/>
      <c r="M12" s="224"/>
      <c r="N12" s="224"/>
      <c r="O12" s="224"/>
      <c r="P12" s="185"/>
      <c r="Q12" s="225"/>
      <c r="R12" s="182" t="str">
        <f ca="1">IF(ISERROR($V12),"",OFFSET('Smelter Look-up'!$C$4,$V12-4,0)&amp;"")</f>
        <v>Shandong Gold Smelting Co., Ltd.</v>
      </c>
      <c r="S12" s="181" t="str">
        <f t="shared" ca="1" si="2"/>
        <v>CN</v>
      </c>
      <c r="T12" s="181" t="str">
        <f ca="1">IF(B12="","",IF(ISERROR(MATCH($J12,SorP!$B$1:$B$6226,0)),"",INDIRECT("'SorP'!$A$"&amp;MATCH($S12&amp;$J12,SorP!C:C,0))))</f>
        <v>CN-SD</v>
      </c>
      <c r="U12" s="201"/>
      <c r="V12" s="226">
        <f ca="1">IF(C12="",NA(),IF(OR(C12="Smelter not listed",C12="Smelter not yet identified"),MATCH($B12&amp;$D12,'Smelter Look-up'!$J:$J,0),MATCH($B12&amp;$C12,'Smelter Look-up'!$J:$J,0)))</f>
        <v>249</v>
      </c>
      <c r="X12" s="227">
        <f t="shared" ca="1" si="3"/>
        <v>0</v>
      </c>
      <c r="AB12" s="228" t="str">
        <f t="shared" ca="1" si="4"/>
        <v>GoldShandong Gold Smelting Co., Ltd.</v>
      </c>
    </row>
    <row r="13" spans="1:34" s="227" customFormat="1" ht="20.149999999999999" customHeight="1">
      <c r="A13" s="262" t="s">
        <v>726</v>
      </c>
      <c r="B13" s="182" t="str">
        <f ca="1">IF(LEN(A13)=0,"",INDEX('Smelter Look-up'!$A:$A,MATCH($A13,'Smelter Look-up'!$E:$E,0)))</f>
        <v>Gold</v>
      </c>
      <c r="C13" s="186" t="str">
        <f ca="1">IF(LEN(A13)=0,"",INDEX('Smelter Look-up'!$C:$C,MATCH($A13,'Smelter Look-up'!$E:$E,0)))</f>
        <v>Tanaka Kikinzoku Kogyo K.K.</v>
      </c>
      <c r="D13" s="230"/>
      <c r="E13" s="182" t="str">
        <f ca="1">IF(ISERROR($V13),"",OFFSET('Smelter Look-up'!$D$4,$V13-4,0)&amp;"")</f>
        <v>JAPAN</v>
      </c>
      <c r="F13" s="182" t="str">
        <f ca="1">IF(ISERROR($V13),"",OFFSET('Smelter Look-up'!$E$4,$V13-4,0))</f>
        <v>CID001875</v>
      </c>
      <c r="G13" s="182" t="str">
        <f ca="1">IF(C13=$X$4,IF(ISERROR($V13),"Enter smelter details","RMI"),IF(ISERROR($V13),"",OFFSET('Smelter Look-up'!$F$4,$V13-4,0)))</f>
        <v>RMI</v>
      </c>
      <c r="H13" s="183">
        <f ca="1">IF(ISERROR($V13),"",OFFSET('Smelter Look-up'!$G$4,$V13-4,0))</f>
        <v>0</v>
      </c>
      <c r="I13" s="184" t="str">
        <f ca="1">IF(ISERROR($V13),"",OFFSET('Smelter Look-up'!$H$4,$V13-4,0))</f>
        <v>Hiratsuka</v>
      </c>
      <c r="J13" s="184" t="str">
        <f ca="1">IF(ISERROR($V13),"",OFFSET('Smelter Look-up'!$I$4,$V13-4,0))</f>
        <v>Kanagawa</v>
      </c>
      <c r="K13" s="224"/>
      <c r="L13" s="224"/>
      <c r="M13" s="224"/>
      <c r="N13" s="224"/>
      <c r="O13" s="224"/>
      <c r="P13" s="185"/>
      <c r="Q13" s="225"/>
      <c r="R13" s="182" t="str">
        <f ca="1">IF(ISERROR($V13),"",OFFSET('Smelter Look-up'!$C$4,$V13-4,0)&amp;"")</f>
        <v>Tanaka Kikinzoku Kogyo K.K.</v>
      </c>
      <c r="S13" s="181" t="str">
        <f t="shared" ca="1" si="2"/>
        <v>JP</v>
      </c>
      <c r="T13" s="181" t="str">
        <f ca="1">IF(B13="","",IF(ISERROR(MATCH($J13,SorP!$B$1:$B$6226,0)),"",INDIRECT("'SorP'!$A$"&amp;MATCH($S13&amp;$J13,SorP!C:C,0))))</f>
        <v>JP-14</v>
      </c>
      <c r="U13" s="201"/>
      <c r="V13" s="226">
        <f ca="1">IF(C13="",NA(),IF(OR(C13="Smelter not listed",C13="Smelter not yet identified"),MATCH($B13&amp;$D13,'Smelter Look-up'!$J:$J,0),MATCH($B13&amp;$C13,'Smelter Look-up'!$J:$J,0)))</f>
        <v>289</v>
      </c>
      <c r="X13" s="227">
        <f t="shared" ca="1" si="3"/>
        <v>0</v>
      </c>
      <c r="AB13" s="228" t="str">
        <f t="shared" ca="1" si="4"/>
        <v>GoldTanaka Kikinzoku Kogyo K.K.</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E8C452B-2B07-4FAD-B998-A36B832E3DA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Knight Electronics,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Randy Rivero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rrivero@knightelectronics.com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214-340-0265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John Knight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jknight@knightelectronics.com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45630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Colton Hart</cp:lastModifiedBy>
  <cp:lastPrinted>2015-04-21T20:47:43Z</cp:lastPrinted>
  <dcterms:created xsi:type="dcterms:W3CDTF">2010-06-21T21:00:23Z</dcterms:created>
  <dcterms:modified xsi:type="dcterms:W3CDTF">2024-12-04T21:33:53Z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